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15480" windowHeight="10950" tabRatio="705" activeTab="0"/>
  </bookViews>
  <sheets>
    <sheet name="KNESSET" sheetId="1" r:id="rId1"/>
    <sheet name="PM+BLOCKS" sheetId="2" r:id="rId2"/>
    <sheet name="Primaries" sheetId="3" r:id="rId3"/>
    <sheet name="Stats" sheetId="4" r:id="rId4"/>
    <sheet name="Personal" sheetId="5" r:id="rId5"/>
  </sheets>
  <definedNames/>
  <calcPr fullCalcOnLoad="1"/>
</workbook>
</file>

<file path=xl/sharedStrings.xml><?xml version="1.0" encoding="utf-8"?>
<sst xmlns="http://schemas.openxmlformats.org/spreadsheetml/2006/main" count="1163" uniqueCount="376">
  <si>
    <t>Kadima</t>
  </si>
  <si>
    <t>Labor</t>
  </si>
  <si>
    <t>Yachad [Meretz]</t>
  </si>
  <si>
    <t>Arab parties</t>
  </si>
  <si>
    <t>Gil</t>
  </si>
  <si>
    <t>Likud</t>
  </si>
  <si>
    <t>Shas</t>
  </si>
  <si>
    <t>National Union &amp; NRP</t>
  </si>
  <si>
    <t>Yisrael Beiteinu [Lieberman]</t>
  </si>
  <si>
    <t>Yahadut Hatorah</t>
  </si>
  <si>
    <t xml:space="preserve">      </t>
  </si>
  <si>
    <t>Error(%)</t>
  </si>
  <si>
    <t>ERROR</t>
  </si>
  <si>
    <t>Left</t>
  </si>
  <si>
    <t>Right</t>
  </si>
  <si>
    <t>Diff</t>
  </si>
  <si>
    <t>N1</t>
  </si>
  <si>
    <t>29.01.2003 - BHIROT</t>
  </si>
  <si>
    <t>N2</t>
  </si>
  <si>
    <t>National Union</t>
  </si>
  <si>
    <t>NRP (Mafdal)</t>
  </si>
  <si>
    <t>Yisrael B'Aliya</t>
  </si>
  <si>
    <t>Meretz</t>
  </si>
  <si>
    <t>Shinui</t>
  </si>
  <si>
    <t>Am Echad</t>
  </si>
  <si>
    <t>Arab Parties</t>
  </si>
  <si>
    <t>Total Error</t>
  </si>
  <si>
    <t>Total Error(%)</t>
  </si>
  <si>
    <t xml:space="preserve">Diff </t>
  </si>
  <si>
    <t xml:space="preserve">Labor  </t>
  </si>
  <si>
    <t xml:space="preserve">Meretz  </t>
  </si>
  <si>
    <t xml:space="preserve">Shinuy   </t>
  </si>
  <si>
    <t xml:space="preserve">Center    </t>
  </si>
  <si>
    <t xml:space="preserve">Peretz   </t>
  </si>
  <si>
    <t xml:space="preserve">Likud   </t>
  </si>
  <si>
    <t xml:space="preserve">IBA       </t>
  </si>
  <si>
    <t xml:space="preserve">Liberman </t>
  </si>
  <si>
    <t>17.05.1999 - BHIROT</t>
  </si>
  <si>
    <t>Gallup</t>
  </si>
  <si>
    <t>Cannabis Party</t>
  </si>
  <si>
    <t>Retirees</t>
  </si>
  <si>
    <t>Third Way</t>
  </si>
  <si>
    <t>Pnina Rosenblum</t>
  </si>
  <si>
    <t>Dahaf</t>
  </si>
  <si>
    <t xml:space="preserve"> </t>
  </si>
  <si>
    <t xml:space="preserve">Shas  </t>
  </si>
  <si>
    <t>AVERAGE</t>
  </si>
  <si>
    <t>ERROR(%)</t>
  </si>
  <si>
    <t>BLOCKS</t>
  </si>
  <si>
    <t>Error L/R</t>
  </si>
  <si>
    <t>R</t>
  </si>
  <si>
    <t>L</t>
  </si>
  <si>
    <t>N3</t>
  </si>
  <si>
    <t>POLL</t>
  </si>
  <si>
    <t>-</t>
  </si>
  <si>
    <t>SOURCE:</t>
  </si>
  <si>
    <t>http://www.imra.org.il/story.php3?id=28868</t>
  </si>
  <si>
    <t>http://www.imra.org.il/story.php3?id=15615</t>
  </si>
  <si>
    <t>http://imra.org.il/story.php3?id=2704</t>
  </si>
  <si>
    <t>http://www.knesset.gov.il/elections/asp/results.asp</t>
  </si>
  <si>
    <t>http://www.knesset.gov.il/elections16/heb/results/regions.asp</t>
  </si>
  <si>
    <t>http://www.knesset.gov.il/elections17/heb/results/Main_Results.asp</t>
  </si>
  <si>
    <t>06.02.2001 - Sharon-Barak</t>
  </si>
  <si>
    <t>Sharon</t>
  </si>
  <si>
    <t>Barak</t>
  </si>
  <si>
    <t>Gallup (Ma'ariv 04.02.2001)</t>
  </si>
  <si>
    <t>SUM</t>
  </si>
  <si>
    <t>k</t>
  </si>
  <si>
    <t>normalized:</t>
  </si>
  <si>
    <t>N5</t>
  </si>
  <si>
    <t>17.05.1999 - BHIROT PM</t>
  </si>
  <si>
    <t xml:space="preserve">Netaniyahu </t>
  </si>
  <si>
    <t>Gallup (14.05.99)</t>
  </si>
  <si>
    <t>Dahaf  (14.05.99)</t>
  </si>
  <si>
    <t>N6</t>
  </si>
  <si>
    <t>29.05.1996 - BHIROT PM</t>
  </si>
  <si>
    <t>Peres</t>
  </si>
  <si>
    <t xml:space="preserve">Dahaf  (Yediot Ahronot 05.02.2001, certain voters) </t>
  </si>
  <si>
    <t>29.03.2006 - BHIROT (Blocks)</t>
  </si>
  <si>
    <t>29.01.2003 - BHIROT (Blocks)</t>
  </si>
  <si>
    <t>Error (%)</t>
  </si>
  <si>
    <t>17.05.1999 - BHIROT (Blocks)</t>
  </si>
  <si>
    <t>N7</t>
  </si>
  <si>
    <t>Livni</t>
  </si>
  <si>
    <t>Mofaz</t>
  </si>
  <si>
    <t>Shitrit</t>
  </si>
  <si>
    <t>Dihter</t>
  </si>
  <si>
    <t>Error</t>
  </si>
  <si>
    <t>TOTAL</t>
  </si>
  <si>
    <t>TOTAL ERROR</t>
  </si>
  <si>
    <t>L-ERROR</t>
  </si>
  <si>
    <t>R-ERROR</t>
  </si>
  <si>
    <t>QTY</t>
  </si>
  <si>
    <t>L/R</t>
  </si>
  <si>
    <t>ALL POLLS</t>
  </si>
  <si>
    <t>N8</t>
  </si>
  <si>
    <t>Netanyahu</t>
  </si>
  <si>
    <t>Feiglin</t>
  </si>
  <si>
    <t>Danon</t>
  </si>
  <si>
    <t>%</t>
  </si>
  <si>
    <t>Ayalon</t>
  </si>
  <si>
    <t>29.05.2007 - Avoda, 1 round</t>
  </si>
  <si>
    <t>Peretz</t>
  </si>
  <si>
    <t>Pines</t>
  </si>
  <si>
    <t>Diff (1-2)</t>
  </si>
  <si>
    <t>Yatom</t>
  </si>
  <si>
    <t>N11</t>
  </si>
  <si>
    <t>Shalom</t>
  </si>
  <si>
    <t>Katz</t>
  </si>
  <si>
    <t>Shvakim Panorama (08.06.07)</t>
  </si>
  <si>
    <t>Shvakim Panorama (Hakol Diburim, 10.09.08)</t>
  </si>
  <si>
    <t>Haaretz-Dialog and Channel 10 (15.09.08)</t>
  </si>
  <si>
    <t>Shvakim-Panorama (Radio, 24.05.07) *</t>
  </si>
  <si>
    <t>Gaarets (C.Fuchs?)  (26.05.07)</t>
  </si>
  <si>
    <t>Shvakim Panorama (14.12.05, total)</t>
  </si>
  <si>
    <t>N12</t>
  </si>
  <si>
    <t>Ben Eliezer</t>
  </si>
  <si>
    <t>Teleseker (TNS-maariv,  8.11.05)</t>
  </si>
  <si>
    <t>N13</t>
  </si>
  <si>
    <t>02.05.2004 - Likud Referendum</t>
  </si>
  <si>
    <t>For</t>
  </si>
  <si>
    <t>Against</t>
  </si>
  <si>
    <t>Teleseker (01.05)</t>
  </si>
  <si>
    <t>N14</t>
  </si>
  <si>
    <t>N15</t>
  </si>
  <si>
    <t xml:space="preserve">Mitzna </t>
  </si>
  <si>
    <t>Ben-Eliezer</t>
  </si>
  <si>
    <t>Ramon</t>
  </si>
  <si>
    <t>Market Watch (26.11.02):</t>
  </si>
  <si>
    <t>Bar Ilan University (21.11.02)</t>
  </si>
  <si>
    <t>Gal hadash (18.11.02, certain voters)</t>
  </si>
  <si>
    <t>N16</t>
  </si>
  <si>
    <t>Burg</t>
  </si>
  <si>
    <t>I.Katz, Maagar Mochot (28.04.04)</t>
  </si>
  <si>
    <t>M.Tsemah, Dahaf (15.11.02)</t>
  </si>
  <si>
    <t>M.Tsemah, Dahaf (22.11.02)</t>
  </si>
  <si>
    <t>M.Tsemah, Dahaf (01.05)</t>
  </si>
  <si>
    <t>M.Tsemah, Dahaf (8.11.05)</t>
  </si>
  <si>
    <t>M.Tsemah,Dahaf (Yediot Aharonot, 12.09.08)</t>
  </si>
  <si>
    <t>C.Fuchs, Dialog-Haaretz (07.06.07)</t>
  </si>
  <si>
    <t>C.Fuchs, Dialog (14.12.05, certain voters)</t>
  </si>
  <si>
    <t>C.Fuchs, Dialog-Haaretz (29.04.04)</t>
  </si>
  <si>
    <t>C.Fuchs, Dialog-Haaretz (27.11.02)</t>
  </si>
  <si>
    <t>C.Fuchs, Dialog-Haaretz (15.11.02)</t>
  </si>
  <si>
    <t>Teleseker (for Maariv, 12.09.08)</t>
  </si>
  <si>
    <t>I.Katz (Reshet bet, 01.08.07, total)</t>
  </si>
  <si>
    <t>http://www.imra.org.il/story.php3?id=40720</t>
  </si>
  <si>
    <t>http://www.imra.org.il/story.php3?id=40683</t>
  </si>
  <si>
    <t>http://newsru.co.il/arch/israel/12sep2008/livni913.html</t>
  </si>
  <si>
    <t>http://www.imra.org.il/story.php3?id=40673</t>
  </si>
  <si>
    <t>http://newsru.co.il/arch/israel/18sep2008/golos_101.html</t>
  </si>
  <si>
    <t>http://imra.org.il/story.php3?id=5378</t>
  </si>
  <si>
    <t>http://imra.org.il/story.php3?id=5373</t>
  </si>
  <si>
    <t>http://www.knesset.gov.il/elections01/results.htm</t>
  </si>
  <si>
    <t>http://www.imra.org.il/story.php3?id=35663</t>
  </si>
  <si>
    <t>http://www.imra.org.il/story.php3?id=35514</t>
  </si>
  <si>
    <t>http://www.imra.org.il/story.php3?id=34688</t>
  </si>
  <si>
    <t>http://www.imra.org.il/story.php3?id=34682</t>
  </si>
  <si>
    <t>http://www.nfc.co.il/Archive/001-D-133371-00.html?tag=16-17-16</t>
  </si>
  <si>
    <t>http://cursorinfo.co.il/news/novosti/2007/06/07/avoda/</t>
  </si>
  <si>
    <t>http://www.7kanal.com/news.php3?id=228827</t>
  </si>
  <si>
    <t>Gal hadash (for Arutz 10, 10.06.07)</t>
  </si>
  <si>
    <t>Teleseker (Maariv, 07.06.07)</t>
  </si>
  <si>
    <t>M.Tsemah, Dahaf (24.05.07)</t>
  </si>
  <si>
    <t>http://www.jafi.org.il/education/actual/elections/elections1996/polls.html</t>
  </si>
  <si>
    <t>http://www.knesset.gov.il/description/heb/heb_mimshal_res14.htm</t>
  </si>
  <si>
    <t>http://www.jafi.org.il/education/actual/elections/elections1996/yhelec6.html</t>
  </si>
  <si>
    <t>http://www.imra.org.il/story.php3?id=34528</t>
  </si>
  <si>
    <t>http://med.walla.co.il/?w=//1111419</t>
  </si>
  <si>
    <t>http://cursorinfo.co.il/news/novosti/2007/05/26/avoda/</t>
  </si>
  <si>
    <t>http://news.msn.co.il/news/StatePoliticalMilitary/Political/200705/2007052508706.htm</t>
  </si>
  <si>
    <t>Smith (Globs, 10.06.07)</t>
  </si>
  <si>
    <t>http://news.walla.co.il/?w=//1120922</t>
  </si>
  <si>
    <t>http://hpnet.ios.st/Front/Newsnet/reports.asp?reportId=122822</t>
  </si>
  <si>
    <t>http://hpnet.ios.st/Front/Newsnet/reports.asp?reportId=119080</t>
  </si>
  <si>
    <t>http://www.imra.org.il/story.php3?id=27823</t>
  </si>
  <si>
    <t>http://newsru.co.il/israel/14dec2005/bnetan.html</t>
  </si>
  <si>
    <t>http://www.nrg.co.il/online/1/ART1/004/768.html</t>
  </si>
  <si>
    <t>http://www.imra.org.il/story.php3?id=27422</t>
  </si>
  <si>
    <t>http://www.nrg.co.il/online/1/ART1/005/627.html</t>
  </si>
  <si>
    <t>http://www.ynet.co.il/articles/0,7340,L-3166959,00.html</t>
  </si>
  <si>
    <t>http://www.imra.org.il/story.php3?id=20640</t>
  </si>
  <si>
    <t>http://www.imra.org.il/story.php3?id=20604</t>
  </si>
  <si>
    <t>http://www.imra.org.il/story.php3?id=20600</t>
  </si>
  <si>
    <t>http://www.ynet.co.il/articles/0,7340,L-2910838,00.html</t>
  </si>
  <si>
    <t>http://www.imra.org.il/story.php3?id=14613</t>
  </si>
  <si>
    <t>Yaacov Levy (Gal Hadash - former Gallup 22.11.02)</t>
  </si>
  <si>
    <t>http://www.imra.org.il/story.php3?id=14678</t>
  </si>
  <si>
    <t>http://www.imra.org.il/story.php3?id=14694</t>
  </si>
  <si>
    <t>http://www.ynet.co.il/articles/0,7340,L-2278136,00.html</t>
  </si>
  <si>
    <t>http://www.languages-study.com/column/column2.12.02.html</t>
  </si>
  <si>
    <t>http://www.fresh.co.il/dcforum/Scoops/37946.html</t>
  </si>
  <si>
    <t>http://www.imra.org.il/story.php3?id=14501</t>
  </si>
  <si>
    <t>http://www.imra.org.il/story.php3?id=14505</t>
  </si>
  <si>
    <t>http://www.ynet.co.il/articles/0,7340,L-1064348,00.html</t>
  </si>
  <si>
    <t>http://www.inn.co.il/News/Flash.aspx/9995</t>
  </si>
  <si>
    <t>http://www.idi.org.il/breakingnews/pages/breaking_the_news_10.aspx</t>
  </si>
  <si>
    <t>Smith (09.11.05) *</t>
  </si>
  <si>
    <t>I.Katz, Maagar Mochot (09.11.05) *</t>
  </si>
  <si>
    <t>http://www.nrg.co.il/images/archive/gallery/484/594.jpg</t>
  </si>
  <si>
    <t>www.nrg.co.il/online/1/ART1/063/202.html</t>
  </si>
  <si>
    <t>Gallup (Maariv, 22.05.1996)</t>
  </si>
  <si>
    <t>Maariv (kalpi, 22.05.1996)</t>
  </si>
  <si>
    <t>Yohanan Peres (22.05.1996)</t>
  </si>
  <si>
    <t>http://he.wikipedia.org/wiki/%D7%94%D7%91%D7%97%D7%99%D7%A8%D7%95%D7%AA_%D7%9C%D7%9B%D7%A0%D7%A1%D7%AA_%D7%94%D7%90%D7%A8%D7%91%D7%A2_%D7%A2%D7%A9%D7%A8%D7%94_%D7%95%D7%9C%D7%A8%D7%90%D7%A9%D7%95%D7%AA_%D7%94%D7%9E%D7%9E%D7%A9%D7%9C%D7%94</t>
  </si>
  <si>
    <t>23.06.1992 - BHIROT (Blocks)</t>
  </si>
  <si>
    <t>http://knesset.gov.il/description/heb/heb_mimshal_res13.htm</t>
  </si>
  <si>
    <t>Teleseker</t>
  </si>
  <si>
    <t>(L-R) ERROR</t>
  </si>
  <si>
    <t>N17</t>
  </si>
  <si>
    <t>other:</t>
  </si>
  <si>
    <t>http://www.cnn.com/WORLD/9605/28/israel.voting/index.html</t>
  </si>
  <si>
    <t>Dahaf (28.05.1996)</t>
  </si>
  <si>
    <t>http://64.233.183.104/search?q=cache:0Xzt4aHRU2oJ:www.bis.org.il/files_count.asp%3Fnews_show_id%3D1873%26news_show_src%3D1873.doc+%22%D7%9E%D7%97%D7%A7%D7%A8%D7%99+%D7%91%D7%97%D7%99%D7%A8%D7%95%D7%AA+%D7%91%D7%99%D7%A9%D7%A8%D7%90%D7%9C%22&amp;hl=iw&amp;ct=clnk&amp;cd=1&amp;gl=il</t>
  </si>
  <si>
    <t xml:space="preserve">Smith  (JPost 05.02.2001) </t>
  </si>
  <si>
    <t>http://www.highbeam.com/doc/1P1-41203535.html</t>
  </si>
  <si>
    <t>M.Tsemah, Dahaf (31.08.01)</t>
  </si>
  <si>
    <t>http://gamla.org.il/english/article/2001/sept/poll1.htm</t>
  </si>
  <si>
    <t>Teleseker (02.09.01)</t>
  </si>
  <si>
    <t>http://www.hebroots.org/hebrootsarchive/0109/0109t.html</t>
  </si>
  <si>
    <t>http://en.wikipedia.org/wiki/Israeli_legislative_election,_2006#Pre-election_opinion_polling</t>
  </si>
  <si>
    <t>http://seacoastauction.com/1999news/5_17_w2.htm</t>
  </si>
  <si>
    <t>Smith  (JPost,16.05.99)</t>
  </si>
  <si>
    <t>Teleseker  (Chanel2, 16.05.99)</t>
  </si>
  <si>
    <t>Ale Yarok</t>
  </si>
  <si>
    <t>Smith (27.05.1996)</t>
  </si>
  <si>
    <t>http://query.nytimes.com/gst/fullpage.html?res=9F0DE4D61139F93BA15756C0A960958260&amp;sec=&amp;spon=&amp;pagewanted=all</t>
  </si>
  <si>
    <t>Teleseker (maariv, 13.12.05, certain voters)</t>
  </si>
  <si>
    <t>http://www.jpost.com/servlet/Satellite?cid=1134309574942&amp;pagename=JPArticle%2FShowFull</t>
  </si>
  <si>
    <t>Dahaf (for ynet, 13.12.05, certain voters)</t>
  </si>
  <si>
    <t>Tali Weiss (RMD, for Shalom, 13.12.05)</t>
  </si>
  <si>
    <t>SUMMARY N1-5 (BLOCKS)</t>
  </si>
  <si>
    <t>N18</t>
  </si>
  <si>
    <t>N19</t>
  </si>
  <si>
    <t>N20</t>
  </si>
  <si>
    <t>TOTAL (abs)</t>
  </si>
  <si>
    <t>SUMMARY N1-20 (All)</t>
  </si>
  <si>
    <t>N4</t>
  </si>
  <si>
    <t>29.05.1996 - BHIROT (Blocks)</t>
  </si>
  <si>
    <t>29.05.1996 - BHIROT</t>
  </si>
  <si>
    <t>IBA</t>
  </si>
  <si>
    <t>Moledet</t>
  </si>
  <si>
    <t>Yediot (25.04)</t>
  </si>
  <si>
    <t>Maariv (16.04)</t>
  </si>
  <si>
    <t>23.07.1984 - BHIROT</t>
  </si>
  <si>
    <t>A.Diskin (22.07)</t>
  </si>
  <si>
    <t>44 (34.9%)</t>
  </si>
  <si>
    <t>41 (31.4%)</t>
  </si>
  <si>
    <t>23.06.1992 - BHIROT</t>
  </si>
  <si>
    <t>Tzomet</t>
  </si>
  <si>
    <t>N9</t>
  </si>
  <si>
    <t>Smith</t>
  </si>
  <si>
    <t>Gal Hadash</t>
  </si>
  <si>
    <t>ERROR L/R</t>
  </si>
  <si>
    <t>NAME</t>
  </si>
  <si>
    <t>Shvakim-Panorama</t>
  </si>
  <si>
    <t>N15 - Likud,2005</t>
  </si>
  <si>
    <t>N14 - 2007,Avoda1</t>
  </si>
  <si>
    <t>N13 - 2007,Avoda2</t>
  </si>
  <si>
    <t>N12 - 2007,Likud</t>
  </si>
  <si>
    <t>N11 - 2008,Kadima</t>
  </si>
  <si>
    <t>N8 - 1999,PM</t>
  </si>
  <si>
    <t>N9 - 1996,PM</t>
  </si>
  <si>
    <t>N7 - 2001,PM</t>
  </si>
  <si>
    <t>N5 - 1992</t>
  </si>
  <si>
    <t>N3 - 1999</t>
  </si>
  <si>
    <t>N2 - 2003</t>
  </si>
  <si>
    <t>N1 - 2006</t>
  </si>
  <si>
    <t>N16 - 2005,Avoda</t>
  </si>
  <si>
    <t>N17 - Referendum</t>
  </si>
  <si>
    <t>N18 - 2002,Likud</t>
  </si>
  <si>
    <t>N19 - 2002,Avoda</t>
  </si>
  <si>
    <t>N20 - 2001,Avoda</t>
  </si>
  <si>
    <t>5L/1R/1=</t>
  </si>
  <si>
    <t>=</t>
  </si>
  <si>
    <t>3L/1R/1=</t>
  </si>
  <si>
    <t>3L</t>
  </si>
  <si>
    <t>4L</t>
  </si>
  <si>
    <t>2L</t>
  </si>
  <si>
    <t>BHIROT</t>
  </si>
  <si>
    <t>1L</t>
  </si>
  <si>
    <t>1L/1=</t>
  </si>
  <si>
    <t>4L/1R</t>
  </si>
  <si>
    <t>4L/3R</t>
  </si>
  <si>
    <t>2R/1=</t>
  </si>
  <si>
    <t>2L/1R/1=</t>
  </si>
  <si>
    <t>28.03.2006 - BHIROT</t>
  </si>
  <si>
    <t>Green</t>
  </si>
  <si>
    <t>2L/1=</t>
  </si>
  <si>
    <t>http://www.uzit.co.il/poll2006.html</t>
  </si>
  <si>
    <t>http://books.google.co.il/books?id=CCTsxgbGNIEC&amp;printsec=frontcover#PPA233,M1</t>
  </si>
  <si>
    <t>http://knesset.gov.il/description/heb/heb_mimshal_res11.htm</t>
  </si>
  <si>
    <t>total error*</t>
  </si>
  <si>
    <t>N6 - 1984</t>
  </si>
  <si>
    <t>http://www.idi.org.il/BreakingNews/Pages/Breaking_the_News_10.aspx</t>
  </si>
  <si>
    <t>3L/1R</t>
  </si>
  <si>
    <t>3L/3R/1=</t>
  </si>
  <si>
    <t>Dialog</t>
  </si>
  <si>
    <t>(C.Fuchs)</t>
  </si>
  <si>
    <t xml:space="preserve">Dahaf </t>
  </si>
  <si>
    <t>(M.Tsemah)</t>
  </si>
  <si>
    <t xml:space="preserve">Maagar Mohot </t>
  </si>
  <si>
    <t>(I.Katz)</t>
  </si>
  <si>
    <t>(Y.Levy)</t>
  </si>
  <si>
    <t>(Y.Vadana)</t>
  </si>
  <si>
    <t>(A.Dgani)</t>
  </si>
  <si>
    <t>1R</t>
  </si>
  <si>
    <t>SUMMARY N1-9 (PM+BLOCKS)</t>
  </si>
  <si>
    <t>SUMMARY N7-9 (PM)</t>
  </si>
  <si>
    <t>SUMMARY NN3,5,9 (diff&lt;10)</t>
  </si>
  <si>
    <t>real diff</t>
  </si>
  <si>
    <t>polled diff</t>
  </si>
  <si>
    <t>error</t>
  </si>
  <si>
    <t>real</t>
  </si>
  <si>
    <t>poll</t>
  </si>
  <si>
    <t>Feiglin (NN12, 15, 18)</t>
  </si>
  <si>
    <t xml:space="preserve">Peres (NN6, 9, 16) </t>
  </si>
  <si>
    <t>Netanyahu (NN9, 15, 18)</t>
  </si>
  <si>
    <t>Geo</t>
  </si>
  <si>
    <t>Maariv</t>
  </si>
  <si>
    <t>Shvakim</t>
  </si>
  <si>
    <t>TNS</t>
  </si>
  <si>
    <t>Weiss</t>
  </si>
  <si>
    <t>Bar-Ilan</t>
  </si>
  <si>
    <t>Watch</t>
  </si>
  <si>
    <t>Diskin</t>
  </si>
  <si>
    <t>Error(1-2)</t>
  </si>
  <si>
    <t>1L/2R</t>
  </si>
  <si>
    <t>1L/1R</t>
  </si>
  <si>
    <t>6L</t>
  </si>
  <si>
    <t>10L/3R</t>
  </si>
  <si>
    <t>Geocartographia</t>
  </si>
  <si>
    <t>Geocartografia (27.11.02)</t>
  </si>
  <si>
    <t>Geocartografia</t>
  </si>
  <si>
    <t>Geocartografia (28.05.1996)</t>
  </si>
  <si>
    <t>SHAS (N1-4)</t>
  </si>
  <si>
    <t>http://www.politicsnow.co.il/ele2003sk.html</t>
  </si>
  <si>
    <t>Herut</t>
  </si>
  <si>
    <t>2L/3R</t>
  </si>
  <si>
    <t xml:space="preserve"> (Yediot, 27.01)</t>
  </si>
  <si>
    <t>(Maariv. 27.01)</t>
  </si>
  <si>
    <t>(Haaretz, 27.01)</t>
  </si>
  <si>
    <t>(Globes, 25.01)</t>
  </si>
  <si>
    <t xml:space="preserve"> (Walla, 26.01) </t>
  </si>
  <si>
    <t>M.Tsemah (13.07)</t>
  </si>
  <si>
    <t>(Galatz, 22.03)</t>
  </si>
  <si>
    <t xml:space="preserve"> (ReshetBet, 23.03)</t>
  </si>
  <si>
    <t>(Maariv, 26.03)</t>
  </si>
  <si>
    <t>REAL</t>
  </si>
  <si>
    <t xml:space="preserve">Katz </t>
  </si>
  <si>
    <t>Dialogue</t>
  </si>
  <si>
    <t>Shvakim Panorama</t>
  </si>
  <si>
    <t xml:space="preserve">Dialog  </t>
  </si>
  <si>
    <t xml:space="preserve"> (Globes, JP, 27.03)</t>
  </si>
  <si>
    <t>TOTAL ERR</t>
  </si>
  <si>
    <r>
      <t xml:space="preserve">I.Katz (Reshet bet, 01.08.07, </t>
    </r>
    <r>
      <rPr>
        <b/>
        <sz val="9"/>
        <rFont val="Arial"/>
        <family val="2"/>
      </rPr>
      <t>certain voters</t>
    </r>
    <r>
      <rPr>
        <sz val="9"/>
        <rFont val="Arial"/>
        <family val="2"/>
      </rPr>
      <t>)</t>
    </r>
  </si>
  <si>
    <r>
      <t xml:space="preserve">Shvakim Panorama (14.12.05, </t>
    </r>
    <r>
      <rPr>
        <b/>
        <sz val="9"/>
        <rFont val="Arial"/>
        <family val="2"/>
      </rPr>
      <t>certain voters</t>
    </r>
    <r>
      <rPr>
        <sz val="9"/>
        <rFont val="Arial"/>
        <family val="2"/>
      </rPr>
      <t>)</t>
    </r>
  </si>
  <si>
    <r>
      <t xml:space="preserve">C.Fuchs, Dialog-Haaretz (14.12.05,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>)</t>
    </r>
  </si>
  <si>
    <r>
      <t xml:space="preserve">Dahaf (for ynet, 13.12.05,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>)</t>
    </r>
  </si>
  <si>
    <r>
      <t xml:space="preserve">Teleseker (maariv, 13.12.05,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>)</t>
    </r>
  </si>
  <si>
    <r>
      <t xml:space="preserve">Gal hadash (18.11.02,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>)</t>
    </r>
  </si>
  <si>
    <t>Smith (Globes,JPost)</t>
  </si>
  <si>
    <t xml:space="preserve">Geocartographia </t>
  </si>
  <si>
    <t xml:space="preserve">Dialog   </t>
  </si>
  <si>
    <t>REAL2 (26.12.01)</t>
  </si>
  <si>
    <t>REAL1 (04.09.01)</t>
  </si>
  <si>
    <t>04.09.2001 Avoda primaries</t>
  </si>
  <si>
    <t>SUMMARY N11-20 (Primaries)</t>
  </si>
  <si>
    <t>19.11.2002 - Avoda primaries</t>
  </si>
  <si>
    <t>28.11.2002 - Likud primaries</t>
  </si>
  <si>
    <t>09.11.2005 - Avoda primaries</t>
  </si>
  <si>
    <t>19.12.2005 - Likud primaries</t>
  </si>
  <si>
    <t xml:space="preserve">12.06.2007 - Avoda primaries, 2 round </t>
  </si>
  <si>
    <t>15.08.2007 - Likud primaries</t>
  </si>
  <si>
    <t>17.09.2008 - Kadima primaries</t>
  </si>
  <si>
    <t>PRIMARIES</t>
  </si>
</sst>
</file>

<file path=xl/styles.xml><?xml version="1.0" encoding="utf-8"?>
<styleSheet xmlns="http://schemas.openxmlformats.org/spreadsheetml/2006/main">
  <numFmts count="3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09]d\-mmm\-yy;@"/>
    <numFmt numFmtId="173" formatCode="0.0%"/>
    <numFmt numFmtId="174" formatCode="0.00000000000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\-yy"/>
    <numFmt numFmtId="181" formatCode="[$-40D]dddd\ dd\ mmmm\ 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B1mmm\-yy"/>
    <numFmt numFmtId="187" formatCode="B1dd\-mmm"/>
  </numFmts>
  <fonts count="2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Times New Roman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4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38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2" fontId="0" fillId="0" borderId="2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/>
    </xf>
    <xf numFmtId="2" fontId="0" fillId="0" borderId="12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38" applyFont="1" applyBorder="1" applyAlignment="1" applyProtection="1">
      <alignment/>
      <protection/>
    </xf>
    <xf numFmtId="0" fontId="6" fillId="0" borderId="0" xfId="38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38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3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0" fontId="1" fillId="0" borderId="15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10" fontId="1" fillId="0" borderId="13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38" applyFont="1" applyBorder="1" applyAlignment="1" applyProtection="1">
      <alignment/>
      <protection/>
    </xf>
    <xf numFmtId="0" fontId="8" fillId="0" borderId="0" xfId="38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0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10" fontId="8" fillId="0" borderId="0" xfId="38" applyNumberFormat="1" applyFont="1" applyBorder="1" applyAlignment="1" applyProtection="1">
      <alignment horizontal="left"/>
      <protection/>
    </xf>
    <xf numFmtId="10" fontId="1" fillId="0" borderId="0" xfId="0" applyNumberFormat="1" applyFont="1" applyBorder="1" applyAlignment="1">
      <alignment horizontal="left"/>
    </xf>
    <xf numFmtId="17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8" fillId="0" borderId="0" xfId="38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8" fillId="0" borderId="0" xfId="38" applyNumberFormat="1" applyFont="1" applyBorder="1" applyAlignment="1" applyProtection="1">
      <alignment/>
      <protection/>
    </xf>
    <xf numFmtId="9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4" borderId="17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2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173" fontId="1" fillId="0" borderId="11" xfId="0" applyNumberFormat="1" applyFont="1" applyBorder="1" applyAlignment="1">
      <alignment/>
    </xf>
    <xf numFmtId="0" fontId="1" fillId="0" borderId="21" xfId="0" applyFont="1" applyBorder="1" applyAlignment="1">
      <alignment/>
    </xf>
    <xf numFmtId="9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0" fontId="1" fillId="0" borderId="22" xfId="0" applyNumberFormat="1" applyFont="1" applyBorder="1" applyAlignment="1">
      <alignment/>
    </xf>
    <xf numFmtId="173" fontId="1" fillId="0" borderId="13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10" fontId="1" fillId="0" borderId="2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0" xfId="0" applyFont="1" applyBorder="1" applyAlignment="1">
      <alignment horizontal="center"/>
    </xf>
    <xf numFmtId="173" fontId="1" fillId="0" borderId="15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8" fillId="0" borderId="19" xfId="38" applyFont="1" applyBorder="1" applyAlignment="1" applyProtection="1">
      <alignment/>
      <protection/>
    </xf>
    <xf numFmtId="0" fontId="1" fillId="0" borderId="19" xfId="0" applyFont="1" applyBorder="1" applyAlignment="1">
      <alignment/>
    </xf>
    <xf numFmtId="0" fontId="8" fillId="0" borderId="11" xfId="38" applyFont="1" applyBorder="1" applyAlignment="1" applyProtection="1">
      <alignment horizontal="left"/>
      <protection/>
    </xf>
    <xf numFmtId="0" fontId="1" fillId="4" borderId="30" xfId="0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30" xfId="0" applyFont="1" applyBorder="1" applyAlignment="1">
      <alignment/>
    </xf>
    <xf numFmtId="10" fontId="1" fillId="0" borderId="11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10" fontId="1" fillId="0" borderId="13" xfId="0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left"/>
    </xf>
    <xf numFmtId="0" fontId="1" fillId="0" borderId="20" xfId="0" applyFont="1" applyBorder="1" applyAlignment="1">
      <alignment/>
    </xf>
    <xf numFmtId="0" fontId="8" fillId="0" borderId="11" xfId="38" applyFont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4" borderId="29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8" fillId="0" borderId="22" xfId="38" applyFont="1" applyBorder="1" applyAlignment="1" applyProtection="1">
      <alignment/>
      <protection/>
    </xf>
    <xf numFmtId="0" fontId="8" fillId="0" borderId="11" xfId="38" applyNumberFormat="1" applyFont="1" applyBorder="1" applyAlignment="1" applyProtection="1">
      <alignment/>
      <protection/>
    </xf>
    <xf numFmtId="9" fontId="1" fillId="0" borderId="21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173" fontId="1" fillId="0" borderId="20" xfId="0" applyNumberFormat="1" applyFont="1" applyBorder="1" applyAlignment="1">
      <alignment/>
    </xf>
    <xf numFmtId="0" fontId="1" fillId="0" borderId="17" xfId="0" applyFont="1" applyBorder="1" applyAlignment="1">
      <alignment/>
    </xf>
    <xf numFmtId="173" fontId="1" fillId="0" borderId="27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75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38" applyFont="1" applyAlignment="1" applyProtection="1">
      <alignment/>
      <protection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30" xfId="0" applyFont="1" applyBorder="1" applyAlignment="1">
      <alignment horizontal="right"/>
    </xf>
    <xf numFmtId="0" fontId="4" fillId="0" borderId="30" xfId="0" applyFont="1" applyBorder="1" applyAlignment="1">
      <alignment/>
    </xf>
    <xf numFmtId="2" fontId="4" fillId="0" borderId="30" xfId="0" applyNumberFormat="1" applyFont="1" applyBorder="1" applyAlignment="1">
      <alignment horizontal="right"/>
    </xf>
    <xf numFmtId="0" fontId="4" fillId="0" borderId="27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75" fontId="4" fillId="0" borderId="11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6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9" xfId="0" applyFont="1" applyBorder="1" applyAlignment="1">
      <alignment horizontal="right"/>
    </xf>
    <xf numFmtId="2" fontId="4" fillId="0" borderId="30" xfId="0" applyNumberFormat="1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9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175" fontId="4" fillId="0" borderId="11" xfId="0" applyNumberFormat="1" applyFont="1" applyBorder="1" applyAlignment="1">
      <alignment horizontal="right"/>
    </xf>
    <xf numFmtId="175" fontId="4" fillId="0" borderId="19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22" xfId="0" applyFont="1" applyFill="1" applyBorder="1" applyAlignment="1">
      <alignment horizontal="left"/>
    </xf>
    <xf numFmtId="2" fontId="4" fillId="0" borderId="22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175" fontId="4" fillId="0" borderId="16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8" borderId="19" xfId="0" applyFont="1" applyFill="1" applyBorder="1" applyAlignment="1">
      <alignment horizontal="center"/>
    </xf>
    <xf numFmtId="0" fontId="4" fillId="8" borderId="19" xfId="0" applyFont="1" applyFill="1" applyBorder="1" applyAlignment="1">
      <alignment/>
    </xf>
    <xf numFmtId="0" fontId="4" fillId="8" borderId="20" xfId="0" applyFont="1" applyFill="1" applyBorder="1" applyAlignment="1">
      <alignment horizontal="center"/>
    </xf>
    <xf numFmtId="9" fontId="4" fillId="0" borderId="19" xfId="0" applyNumberFormat="1" applyFont="1" applyBorder="1" applyAlignment="1">
      <alignment/>
    </xf>
    <xf numFmtId="173" fontId="4" fillId="0" borderId="11" xfId="0" applyNumberFormat="1" applyFont="1" applyBorder="1" applyAlignment="1">
      <alignment/>
    </xf>
    <xf numFmtId="0" fontId="4" fillId="0" borderId="21" xfId="0" applyFont="1" applyBorder="1" applyAlignment="1">
      <alignment horizontal="left"/>
    </xf>
    <xf numFmtId="0" fontId="4" fillId="8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3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2" fontId="5" fillId="0" borderId="22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9" xfId="0" applyFont="1" applyFill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13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2" fontId="5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4" fillId="0" borderId="29" xfId="0" applyFont="1" applyFill="1" applyBorder="1" applyAlignment="1">
      <alignment horizontal="left"/>
    </xf>
    <xf numFmtId="2" fontId="4" fillId="0" borderId="17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1" fontId="4" fillId="0" borderId="19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75" fontId="4" fillId="0" borderId="16" xfId="0" applyNumberFormat="1" applyFont="1" applyBorder="1" applyAlignment="1">
      <alignment horizontal="center"/>
    </xf>
    <xf numFmtId="0" fontId="4" fillId="22" borderId="16" xfId="0" applyFont="1" applyFill="1" applyBorder="1" applyAlignment="1">
      <alignment horizontal="left"/>
    </xf>
    <xf numFmtId="0" fontId="4" fillId="22" borderId="22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7" fontId="4" fillId="0" borderId="29" xfId="0" applyNumberFormat="1" applyFont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22" borderId="21" xfId="0" applyFont="1" applyFill="1" applyBorder="1" applyAlignment="1">
      <alignment horizontal="left"/>
    </xf>
    <xf numFmtId="2" fontId="5" fillId="0" borderId="19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75" fontId="4" fillId="0" borderId="2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6" fillId="0" borderId="18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2" xfId="0" applyFont="1" applyBorder="1" applyAlignment="1">
      <alignment/>
    </xf>
    <xf numFmtId="0" fontId="26" fillId="0" borderId="16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22" xfId="0" applyFont="1" applyFill="1" applyBorder="1" applyAlignment="1">
      <alignment/>
    </xf>
    <xf numFmtId="0" fontId="27" fillId="0" borderId="14" xfId="0" applyFont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12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0" fontId="8" fillId="0" borderId="13" xfId="38" applyNumberFormat="1" applyFont="1" applyBorder="1" applyAlignment="1" applyProtection="1">
      <alignment horizontal="left"/>
      <protection/>
    </xf>
    <xf numFmtId="0" fontId="1" fillId="4" borderId="19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 wrapText="1"/>
    </xf>
    <xf numFmtId="0" fontId="1" fillId="4" borderId="29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0" fontId="8" fillId="0" borderId="11" xfId="38" applyNumberFormat="1" applyFont="1" applyBorder="1" applyAlignment="1" applyProtection="1">
      <alignment horizontal="left"/>
      <protection/>
    </xf>
    <xf numFmtId="0" fontId="2" fillId="0" borderId="19" xfId="38" applyBorder="1" applyAlignment="1" applyProtection="1">
      <alignment/>
      <protection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0" fontId="2" fillId="0" borderId="19" xfId="38" applyNumberFormat="1" applyBorder="1" applyAlignment="1" applyProtection="1">
      <alignment horizontal="left"/>
      <protection/>
    </xf>
    <xf numFmtId="10" fontId="1" fillId="0" borderId="19" xfId="0" applyNumberFormat="1" applyFont="1" applyBorder="1" applyAlignment="1">
      <alignment horizontal="left"/>
    </xf>
    <xf numFmtId="10" fontId="1" fillId="0" borderId="20" xfId="0" applyNumberFormat="1" applyFont="1" applyBorder="1" applyAlignment="1">
      <alignment horizontal="left"/>
    </xf>
    <xf numFmtId="0" fontId="1" fillId="4" borderId="30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nesset.gov.il/description/heb/heb_mimshal_res14.htm" TargetMode="External" /><Relationship Id="rId2" Type="http://schemas.openxmlformats.org/officeDocument/2006/relationships/hyperlink" Target="http://www.jafi.org.il/education/actual/elections/elections1996/yhelec6.html" TargetMode="External" /><Relationship Id="rId3" Type="http://schemas.openxmlformats.org/officeDocument/2006/relationships/hyperlink" Target="http://knesset.gov.il/description/heb/heb_mimshal_res13.htm" TargetMode="External" /><Relationship Id="rId4" Type="http://schemas.openxmlformats.org/officeDocument/2006/relationships/hyperlink" Target="http://books.google.co.il/books?id=CCTsxgbGNIEC&amp;printsec=frontcover#PPA233,M1" TargetMode="External" /><Relationship Id="rId5" Type="http://schemas.openxmlformats.org/officeDocument/2006/relationships/hyperlink" Target="http://knesset.gov.il/description/heb/heb_mimshal_res11.htm" TargetMode="External" /><Relationship Id="rId6" Type="http://schemas.openxmlformats.org/officeDocument/2006/relationships/hyperlink" Target="http://imra.org.il/story.php3?id=2704" TargetMode="External" /><Relationship Id="rId7" Type="http://schemas.openxmlformats.org/officeDocument/2006/relationships/hyperlink" Target="http://www.imra.org.il/story.php3?id=15615" TargetMode="External" /><Relationship Id="rId8" Type="http://schemas.openxmlformats.org/officeDocument/2006/relationships/hyperlink" Target="http://www.knesset.gov.il/elections16/heb/results/regions.asp" TargetMode="External" /><Relationship Id="rId9" Type="http://schemas.openxmlformats.org/officeDocument/2006/relationships/hyperlink" Target="http://www.jafi.org.il/education/actual/elections/elections1996/polls.html" TargetMode="External" /><Relationship Id="rId10" Type="http://schemas.openxmlformats.org/officeDocument/2006/relationships/hyperlink" Target="http://www.politicsnow.co.il/ele2003sk.html" TargetMode="External" /><Relationship Id="rId11" Type="http://schemas.openxmlformats.org/officeDocument/2006/relationships/hyperlink" Target="http://www.uzit.co.il/poll2006.html" TargetMode="External" /><Relationship Id="rId12" Type="http://schemas.openxmlformats.org/officeDocument/2006/relationships/hyperlink" Target="http://en.wikipedia.org/wiki/Israeli_legislative_election,_2006#Pre-election_opinion_polling" TargetMode="External" /><Relationship Id="rId13" Type="http://schemas.openxmlformats.org/officeDocument/2006/relationships/hyperlink" Target="http://www.imra.org.il/story.php3?id=28868" TargetMode="External" /><Relationship Id="rId14" Type="http://schemas.openxmlformats.org/officeDocument/2006/relationships/hyperlink" Target="http://www.knesset.gov.il/elections17/heb/results/Main_Results.asp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mra.org.il/story.php3?id=5378" TargetMode="External" /><Relationship Id="rId2" Type="http://schemas.openxmlformats.org/officeDocument/2006/relationships/hyperlink" Target="http://www.knesset.gov.il/description/heb/heb_mimshal_res14.htm" TargetMode="External" /><Relationship Id="rId3" Type="http://schemas.openxmlformats.org/officeDocument/2006/relationships/hyperlink" Target="http://imra.org.il/story.php3?id=2704" TargetMode="External" /><Relationship Id="rId4" Type="http://schemas.openxmlformats.org/officeDocument/2006/relationships/hyperlink" Target="http://www.knesset.gov.il/elections/asp/results.asp" TargetMode="External" /><Relationship Id="rId5" Type="http://schemas.openxmlformats.org/officeDocument/2006/relationships/hyperlink" Target="http://www.knesset.gov.il/elections01/results.htm" TargetMode="External" /><Relationship Id="rId6" Type="http://schemas.openxmlformats.org/officeDocument/2006/relationships/hyperlink" Target="http://imra.org.il/story.php3?id=5373" TargetMode="External" /><Relationship Id="rId7" Type="http://schemas.openxmlformats.org/officeDocument/2006/relationships/hyperlink" Target="http://knesset.gov.il/description/heb/heb_mimshal_res13.htm" TargetMode="External" /><Relationship Id="rId8" Type="http://schemas.openxmlformats.org/officeDocument/2006/relationships/hyperlink" Target="http://www.highbeam.com/doc/1P1-41203535.html" TargetMode="External" /><Relationship Id="rId9" Type="http://schemas.openxmlformats.org/officeDocument/2006/relationships/hyperlink" Target="http://seacoastauction.com/1999news/5_17_w2.htm" TargetMode="External" /><Relationship Id="rId10" Type="http://schemas.openxmlformats.org/officeDocument/2006/relationships/hyperlink" Target="http://seacoastauction.com/1999news/5_17_w2.htm" TargetMode="External" /><Relationship Id="rId11" Type="http://schemas.openxmlformats.org/officeDocument/2006/relationships/hyperlink" Target="http://query.nytimes.com/gst/fullpage.html?res=9F0DE4D61139F93BA15756C0A960958260&amp;sec=&amp;spon=&amp;pagewanted=all" TargetMode="External" /><Relationship Id="rId12" Type="http://schemas.openxmlformats.org/officeDocument/2006/relationships/hyperlink" Target="http://www.knesset.gov.il/description/heb/heb_mimshal_res14.htm" TargetMode="External" /><Relationship Id="rId13" Type="http://schemas.openxmlformats.org/officeDocument/2006/relationships/hyperlink" Target="http://www.nrg.co.il/online/1/ART1/063/202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mra.org.il/story.php3?id=40720" TargetMode="External" /><Relationship Id="rId2" Type="http://schemas.openxmlformats.org/officeDocument/2006/relationships/hyperlink" Target="http://www.imra.org.il/story.php3?id=40683" TargetMode="External" /><Relationship Id="rId3" Type="http://schemas.openxmlformats.org/officeDocument/2006/relationships/hyperlink" Target="http://newsru.co.il/arch/israel/12sep2008/livni913.html" TargetMode="External" /><Relationship Id="rId4" Type="http://schemas.openxmlformats.org/officeDocument/2006/relationships/hyperlink" Target="http://www.imra.org.il/story.php3?id=40673" TargetMode="External" /><Relationship Id="rId5" Type="http://schemas.openxmlformats.org/officeDocument/2006/relationships/hyperlink" Target="http://newsru.co.il/arch/israel/18sep2008/golos_101.html" TargetMode="External" /><Relationship Id="rId6" Type="http://schemas.openxmlformats.org/officeDocument/2006/relationships/hyperlink" Target="http://www.imra.org.il/story.php3?id=35514" TargetMode="External" /><Relationship Id="rId7" Type="http://schemas.openxmlformats.org/officeDocument/2006/relationships/hyperlink" Target="http://www.imra.org.il/story.php3?id=35663" TargetMode="External" /><Relationship Id="rId8" Type="http://schemas.openxmlformats.org/officeDocument/2006/relationships/hyperlink" Target="http://news.walla.co.il/?w=//1120922" TargetMode="External" /><Relationship Id="rId9" Type="http://schemas.openxmlformats.org/officeDocument/2006/relationships/hyperlink" Target="http://www.imra.org.il/story.php3?id=34688" TargetMode="External" /><Relationship Id="rId10" Type="http://schemas.openxmlformats.org/officeDocument/2006/relationships/hyperlink" Target="http://www.imra.org.il/story.php3?id=34682" TargetMode="External" /><Relationship Id="rId11" Type="http://schemas.openxmlformats.org/officeDocument/2006/relationships/hyperlink" Target="http://cursorinfo.co.il/news/novosti/2007/06/07/avoda/" TargetMode="External" /><Relationship Id="rId12" Type="http://schemas.openxmlformats.org/officeDocument/2006/relationships/hyperlink" Target="http://www.nfc.co.il/Archive/001-D-133371-00.html?tag=16-17-16" TargetMode="External" /><Relationship Id="rId13" Type="http://schemas.openxmlformats.org/officeDocument/2006/relationships/hyperlink" Target="http://www.7kanal.com/news.php3?id=228827" TargetMode="External" /><Relationship Id="rId14" Type="http://schemas.openxmlformats.org/officeDocument/2006/relationships/hyperlink" Target="http://www.imra.org.il/story.php3?id=34528" TargetMode="External" /><Relationship Id="rId15" Type="http://schemas.openxmlformats.org/officeDocument/2006/relationships/hyperlink" Target="http://med.walla.co.il/?w=//1111419" TargetMode="External" /><Relationship Id="rId16" Type="http://schemas.openxmlformats.org/officeDocument/2006/relationships/hyperlink" Target="http://cursorinfo.co.il/news/novosti/2007/05/26/avoda/" TargetMode="External" /><Relationship Id="rId17" Type="http://schemas.openxmlformats.org/officeDocument/2006/relationships/hyperlink" Target="http://news.msn.co.il/news/StatePoliticalMilitary/Political/200705/2007052508706.htm" TargetMode="External" /><Relationship Id="rId18" Type="http://schemas.openxmlformats.org/officeDocument/2006/relationships/hyperlink" Target="http://hpnet.ios.st/Front/Newsnet/reports.asp?reportId=122822" TargetMode="External" /><Relationship Id="rId19" Type="http://schemas.openxmlformats.org/officeDocument/2006/relationships/hyperlink" Target="http://hpnet.ios.st/Front/Newsnet/reports.asp?reportId=119080" TargetMode="External" /><Relationship Id="rId20" Type="http://schemas.openxmlformats.org/officeDocument/2006/relationships/hyperlink" Target="http://www.imra.org.il/story.php3?id=27823" TargetMode="External" /><Relationship Id="rId21" Type="http://schemas.openxmlformats.org/officeDocument/2006/relationships/hyperlink" Target="http://newsru.co.il/israel/14dec2005/bnetan.html" TargetMode="External" /><Relationship Id="rId22" Type="http://schemas.openxmlformats.org/officeDocument/2006/relationships/hyperlink" Target="http://www.nrg.co.il/online/1/ART1/004/768.html" TargetMode="External" /><Relationship Id="rId23" Type="http://schemas.openxmlformats.org/officeDocument/2006/relationships/hyperlink" Target="http://www.imra.org.il/story.php3?id=27422" TargetMode="External" /><Relationship Id="rId24" Type="http://schemas.openxmlformats.org/officeDocument/2006/relationships/hyperlink" Target="http://www.nrg.co.il/online/1/ART1/005/627.html" TargetMode="External" /><Relationship Id="rId25" Type="http://schemas.openxmlformats.org/officeDocument/2006/relationships/hyperlink" Target="http://www.ynet.co.il/articles/0,7340,L-3166959,00.html" TargetMode="External" /><Relationship Id="rId26" Type="http://schemas.openxmlformats.org/officeDocument/2006/relationships/hyperlink" Target="http://www.imra.org.il/story.php3?id=20640" TargetMode="External" /><Relationship Id="rId27" Type="http://schemas.openxmlformats.org/officeDocument/2006/relationships/hyperlink" Target="http://www.imra.org.il/story.php3?id=20640" TargetMode="External" /><Relationship Id="rId28" Type="http://schemas.openxmlformats.org/officeDocument/2006/relationships/hyperlink" Target="http://www.imra.org.il/story.php3?id=20604" TargetMode="External" /><Relationship Id="rId29" Type="http://schemas.openxmlformats.org/officeDocument/2006/relationships/hyperlink" Target="http://www.imra.org.il/story.php3?id=20600" TargetMode="External" /><Relationship Id="rId30" Type="http://schemas.openxmlformats.org/officeDocument/2006/relationships/hyperlink" Target="http://www.ynet.co.il/articles/0,7340,L-2910838,00.html" TargetMode="External" /><Relationship Id="rId31" Type="http://schemas.openxmlformats.org/officeDocument/2006/relationships/hyperlink" Target="http://www.imra.org.il/story.php3?id=14613" TargetMode="External" /><Relationship Id="rId32" Type="http://schemas.openxmlformats.org/officeDocument/2006/relationships/hyperlink" Target="http://www.imra.org.il/story.php3?id=14613" TargetMode="External" /><Relationship Id="rId33" Type="http://schemas.openxmlformats.org/officeDocument/2006/relationships/hyperlink" Target="http://www.imra.org.il/story.php3?id=14678" TargetMode="External" /><Relationship Id="rId34" Type="http://schemas.openxmlformats.org/officeDocument/2006/relationships/hyperlink" Target="http://www.imra.org.il/story.php3?id=14694" TargetMode="External" /><Relationship Id="rId35" Type="http://schemas.openxmlformats.org/officeDocument/2006/relationships/hyperlink" Target="http://www.ynet.co.il/articles/0,7340,L-2278136,00.html" TargetMode="External" /><Relationship Id="rId36" Type="http://schemas.openxmlformats.org/officeDocument/2006/relationships/hyperlink" Target="http://www.languages-study.com/column/column2.12.02.html" TargetMode="External" /><Relationship Id="rId37" Type="http://schemas.openxmlformats.org/officeDocument/2006/relationships/hyperlink" Target="http://www.imra.org.il/story.php3?id=14613" TargetMode="External" /><Relationship Id="rId38" Type="http://schemas.openxmlformats.org/officeDocument/2006/relationships/hyperlink" Target="http://www.fresh.co.il/dcforum/Scoops/37946.html" TargetMode="External" /><Relationship Id="rId39" Type="http://schemas.openxmlformats.org/officeDocument/2006/relationships/hyperlink" Target="http://www.imra.org.il/story.php3?id=14501" TargetMode="External" /><Relationship Id="rId40" Type="http://schemas.openxmlformats.org/officeDocument/2006/relationships/hyperlink" Target="http://www.imra.org.il/story.php3?id=14505" TargetMode="External" /><Relationship Id="rId41" Type="http://schemas.openxmlformats.org/officeDocument/2006/relationships/hyperlink" Target="http://www.idi.org.il/breakingnews/pages/breaking_the_news_10.aspx" TargetMode="External" /><Relationship Id="rId42" Type="http://schemas.openxmlformats.org/officeDocument/2006/relationships/hyperlink" Target="http://www.ynet.co.il/articles/0,7340,L-1064348,00.html" TargetMode="External" /><Relationship Id="rId43" Type="http://schemas.openxmlformats.org/officeDocument/2006/relationships/hyperlink" Target="http://www.inn.co.il/News/Flash.aspx/9995" TargetMode="External" /><Relationship Id="rId44" Type="http://schemas.openxmlformats.org/officeDocument/2006/relationships/hyperlink" Target="http://gamla.org.il/english/article/2001/sept/poll1.htm" TargetMode="External" /><Relationship Id="rId45" Type="http://schemas.openxmlformats.org/officeDocument/2006/relationships/hyperlink" Target="http://www.jpost.com/servlet/Satellite?cid=1134309574942&amp;pagename=JPArticle%2FShowFull" TargetMode="External" /><Relationship Id="rId46" Type="http://schemas.openxmlformats.org/officeDocument/2006/relationships/hyperlink" Target="http://www.jpost.com/servlet/Satellite?cid=1134309574942&amp;pagename=JPArticle%2FShowFull" TargetMode="External" /><Relationship Id="rId47" Type="http://schemas.openxmlformats.org/officeDocument/2006/relationships/hyperlink" Target="http://www.jpost.com/servlet/Satellite?cid=1134309574942&amp;pagename=JPArticle%2FShowFull" TargetMode="External" /><Relationship Id="rId48" Type="http://schemas.openxmlformats.org/officeDocument/2006/relationships/hyperlink" Target="http://www.idi.org.il/BreakingNews/Pages/Breaking_the_News_10.aspx" TargetMode="External" /><Relationship Id="rId49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3"/>
  <sheetViews>
    <sheetView tabSelected="1" zoomScalePageLayoutView="0" workbookViewId="0" topLeftCell="A1">
      <selection activeCell="A9" sqref="A9"/>
    </sheetView>
  </sheetViews>
  <sheetFormatPr defaultColWidth="8.421875" defaultRowHeight="12.75"/>
  <cols>
    <col min="1" max="1" width="11.7109375" style="53" customWidth="1"/>
    <col min="2" max="2" width="6.421875" style="53" customWidth="1"/>
    <col min="3" max="3" width="6.140625" style="53" customWidth="1"/>
    <col min="4" max="4" width="6.00390625" style="53" customWidth="1"/>
    <col min="5" max="5" width="6.28125" style="53" customWidth="1"/>
    <col min="6" max="6" width="5.8515625" style="53" customWidth="1"/>
    <col min="7" max="7" width="6.421875" style="53" customWidth="1"/>
    <col min="8" max="8" width="5.7109375" style="53" customWidth="1"/>
    <col min="9" max="9" width="6.7109375" style="53" customWidth="1"/>
    <col min="10" max="10" width="6.421875" style="53" customWidth="1"/>
    <col min="11" max="11" width="7.7109375" style="53" customWidth="1"/>
    <col min="12" max="12" width="7.28125" style="53" customWidth="1"/>
    <col min="13" max="13" width="6.8515625" style="53" customWidth="1"/>
    <col min="14" max="14" width="6.140625" style="53" customWidth="1"/>
    <col min="15" max="15" width="6.57421875" style="53" customWidth="1"/>
    <col min="16" max="16" width="7.28125" style="53" customWidth="1"/>
    <col min="17" max="17" width="7.140625" style="53" customWidth="1"/>
    <col min="18" max="18" width="6.421875" style="53" customWidth="1"/>
    <col min="19" max="19" width="8.00390625" style="53" customWidth="1"/>
    <col min="20" max="16384" width="8.421875" style="53" customWidth="1"/>
  </cols>
  <sheetData>
    <row r="1" spans="1:19" ht="11.25">
      <c r="A1" s="89" t="s">
        <v>16</v>
      </c>
      <c r="B1" s="90"/>
      <c r="C1" s="296" t="s">
        <v>286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306"/>
    </row>
    <row r="2" spans="1:19" ht="12.75" customHeight="1">
      <c r="A2" s="86"/>
      <c r="B2" s="86"/>
      <c r="C2" s="291" t="s">
        <v>349</v>
      </c>
      <c r="D2" s="292"/>
      <c r="E2" s="291" t="s">
        <v>297</v>
      </c>
      <c r="F2" s="292"/>
      <c r="G2" s="291" t="s">
        <v>43</v>
      </c>
      <c r="H2" s="292"/>
      <c r="I2" s="291" t="s">
        <v>207</v>
      </c>
      <c r="J2" s="292"/>
      <c r="K2" s="297" t="s">
        <v>251</v>
      </c>
      <c r="L2" s="297"/>
      <c r="M2" s="291" t="s">
        <v>331</v>
      </c>
      <c r="N2" s="292"/>
      <c r="O2" s="291" t="s">
        <v>351</v>
      </c>
      <c r="P2" s="292"/>
      <c r="Q2" s="291" t="s">
        <v>46</v>
      </c>
      <c r="R2" s="297"/>
      <c r="S2" s="292"/>
    </row>
    <row r="3" spans="1:19" ht="12.75" customHeight="1">
      <c r="A3" s="86"/>
      <c r="B3" s="86"/>
      <c r="C3" s="304">
        <v>26.03</v>
      </c>
      <c r="D3" s="305"/>
      <c r="E3" s="304">
        <v>26.03</v>
      </c>
      <c r="F3" s="305"/>
      <c r="G3" s="304">
        <v>26.03</v>
      </c>
      <c r="H3" s="305"/>
      <c r="I3" s="304" t="s">
        <v>347</v>
      </c>
      <c r="J3" s="305"/>
      <c r="K3" s="274" t="s">
        <v>353</v>
      </c>
      <c r="L3" s="274"/>
      <c r="M3" s="304" t="s">
        <v>345</v>
      </c>
      <c r="N3" s="305"/>
      <c r="O3" s="304" t="s">
        <v>346</v>
      </c>
      <c r="P3" s="305"/>
      <c r="Q3" s="91"/>
      <c r="R3" s="84"/>
      <c r="S3" s="92"/>
    </row>
    <row r="4" spans="1:19" ht="12.75" customHeight="1">
      <c r="A4" s="86"/>
      <c r="B4" s="256" t="s">
        <v>348</v>
      </c>
      <c r="C4" s="91" t="s">
        <v>53</v>
      </c>
      <c r="D4" s="85" t="s">
        <v>12</v>
      </c>
      <c r="E4" s="91" t="s">
        <v>53</v>
      </c>
      <c r="F4" s="85" t="s">
        <v>12</v>
      </c>
      <c r="G4" s="91" t="s">
        <v>53</v>
      </c>
      <c r="H4" s="85" t="s">
        <v>12</v>
      </c>
      <c r="I4" s="91" t="s">
        <v>53</v>
      </c>
      <c r="J4" s="85" t="s">
        <v>12</v>
      </c>
      <c r="K4" s="84" t="s">
        <v>53</v>
      </c>
      <c r="L4" s="83" t="s">
        <v>12</v>
      </c>
      <c r="M4" s="91" t="s">
        <v>53</v>
      </c>
      <c r="N4" s="85" t="s">
        <v>12</v>
      </c>
      <c r="O4" s="91" t="s">
        <v>53</v>
      </c>
      <c r="P4" s="85" t="s">
        <v>12</v>
      </c>
      <c r="Q4" s="91" t="s">
        <v>53</v>
      </c>
      <c r="R4" s="83" t="s">
        <v>12</v>
      </c>
      <c r="S4" s="85" t="s">
        <v>47</v>
      </c>
    </row>
    <row r="5" spans="1:19" ht="11.25">
      <c r="A5" s="257" t="s">
        <v>0</v>
      </c>
      <c r="B5" s="94">
        <v>29</v>
      </c>
      <c r="C5" s="99">
        <v>34</v>
      </c>
      <c r="D5" s="97">
        <f>C5-B5</f>
        <v>5</v>
      </c>
      <c r="E5" s="99">
        <v>36</v>
      </c>
      <c r="F5" s="97">
        <f>E5-B5</f>
        <v>7</v>
      </c>
      <c r="G5" s="99">
        <v>34</v>
      </c>
      <c r="H5" s="97">
        <f>G5-B5</f>
        <v>5</v>
      </c>
      <c r="I5" s="99">
        <v>34</v>
      </c>
      <c r="J5" s="97">
        <f>I5-B5</f>
        <v>5</v>
      </c>
      <c r="K5" s="95">
        <v>33.5</v>
      </c>
      <c r="L5" s="95">
        <f>K5-B5</f>
        <v>4.5</v>
      </c>
      <c r="M5" s="99">
        <v>34</v>
      </c>
      <c r="N5" s="97">
        <f>M5-B5</f>
        <v>5</v>
      </c>
      <c r="O5" s="99">
        <v>33.5</v>
      </c>
      <c r="P5" s="97">
        <f>O5-B5</f>
        <v>4.5</v>
      </c>
      <c r="Q5" s="105">
        <f aca="true" t="shared" si="0" ref="Q5:R9">AVERAGE(C5,E5,G5,I5,K5,M5,O5)</f>
        <v>34.142857142857146</v>
      </c>
      <c r="R5" s="106">
        <f t="shared" si="0"/>
        <v>5.142857142857143</v>
      </c>
      <c r="S5" s="107">
        <f>R5/120</f>
        <v>0.04285714285714286</v>
      </c>
    </row>
    <row r="6" spans="1:19" ht="11.25">
      <c r="A6" s="258" t="s">
        <v>1</v>
      </c>
      <c r="B6" s="86">
        <v>19</v>
      </c>
      <c r="C6" s="60">
        <v>19</v>
      </c>
      <c r="D6" s="61">
        <f>C6-B6</f>
        <v>0</v>
      </c>
      <c r="E6" s="60">
        <v>18</v>
      </c>
      <c r="F6" s="61">
        <f>E6-B6</f>
        <v>-1</v>
      </c>
      <c r="G6" s="60">
        <v>21</v>
      </c>
      <c r="H6" s="61">
        <f>G6-B6</f>
        <v>2</v>
      </c>
      <c r="I6" s="60">
        <v>17</v>
      </c>
      <c r="J6" s="61">
        <f>I6-B6</f>
        <v>-2</v>
      </c>
      <c r="K6" s="55">
        <v>20.5</v>
      </c>
      <c r="L6" s="55">
        <f>K6-B6</f>
        <v>1.5</v>
      </c>
      <c r="M6" s="60">
        <v>20</v>
      </c>
      <c r="N6" s="61">
        <f>M6-B6</f>
        <v>1</v>
      </c>
      <c r="O6" s="60">
        <v>17.5</v>
      </c>
      <c r="P6" s="61">
        <f>O6-B6</f>
        <v>-1.5</v>
      </c>
      <c r="Q6" s="56">
        <f t="shared" si="0"/>
        <v>19</v>
      </c>
      <c r="R6" s="57">
        <f t="shared" si="0"/>
        <v>0</v>
      </c>
      <c r="S6" s="58">
        <f>R6/120</f>
        <v>0</v>
      </c>
    </row>
    <row r="7" spans="1:19" ht="11.25">
      <c r="A7" s="258" t="s">
        <v>2</v>
      </c>
      <c r="B7" s="86">
        <v>5</v>
      </c>
      <c r="C7" s="60">
        <v>6</v>
      </c>
      <c r="D7" s="61">
        <f>C7-B7</f>
        <v>1</v>
      </c>
      <c r="E7" s="60">
        <v>6</v>
      </c>
      <c r="F7" s="61">
        <f>E7-B7</f>
        <v>1</v>
      </c>
      <c r="G7" s="60">
        <v>5</v>
      </c>
      <c r="H7" s="61">
        <f>G7-B7</f>
        <v>0</v>
      </c>
      <c r="I7" s="60">
        <v>5</v>
      </c>
      <c r="J7" s="61">
        <f>I7-B7</f>
        <v>0</v>
      </c>
      <c r="K7" s="55">
        <v>6</v>
      </c>
      <c r="L7" s="55">
        <f>K7-B7</f>
        <v>1</v>
      </c>
      <c r="M7" s="60">
        <v>5.5</v>
      </c>
      <c r="N7" s="61">
        <f>M7-B7</f>
        <v>0.5</v>
      </c>
      <c r="O7" s="60">
        <v>6</v>
      </c>
      <c r="P7" s="61">
        <f>O7-B7</f>
        <v>1</v>
      </c>
      <c r="Q7" s="56">
        <f t="shared" si="0"/>
        <v>5.642857142857143</v>
      </c>
      <c r="R7" s="57">
        <f t="shared" si="0"/>
        <v>0.6428571428571429</v>
      </c>
      <c r="S7" s="58">
        <f>R7/120</f>
        <v>0.005357142857142857</v>
      </c>
    </row>
    <row r="8" spans="1:19" ht="11.25">
      <c r="A8" s="258" t="s">
        <v>3</v>
      </c>
      <c r="B8" s="86">
        <v>10</v>
      </c>
      <c r="C8" s="60">
        <v>7</v>
      </c>
      <c r="D8" s="61">
        <f>C8-B8</f>
        <v>-3</v>
      </c>
      <c r="E8" s="60">
        <v>8</v>
      </c>
      <c r="F8" s="61">
        <f>E8-B8</f>
        <v>-2</v>
      </c>
      <c r="G8" s="60">
        <v>7</v>
      </c>
      <c r="H8" s="61">
        <f>G8-B8</f>
        <v>-3</v>
      </c>
      <c r="I8" s="60">
        <v>7</v>
      </c>
      <c r="J8" s="61">
        <f>I8-B8</f>
        <v>-3</v>
      </c>
      <c r="K8" s="55">
        <v>9</v>
      </c>
      <c r="L8" s="55">
        <f>K8-B8</f>
        <v>-1</v>
      </c>
      <c r="M8" s="60">
        <v>6.5</v>
      </c>
      <c r="N8" s="61">
        <f>M8-B8</f>
        <v>-3.5</v>
      </c>
      <c r="O8" s="60">
        <v>8.5</v>
      </c>
      <c r="P8" s="61">
        <f>O8-B8</f>
        <v>-1.5</v>
      </c>
      <c r="Q8" s="56">
        <f t="shared" si="0"/>
        <v>7.571428571428571</v>
      </c>
      <c r="R8" s="57">
        <f t="shared" si="0"/>
        <v>-2.4285714285714284</v>
      </c>
      <c r="S8" s="58">
        <f>R8/120</f>
        <v>-0.020238095238095236</v>
      </c>
    </row>
    <row r="9" spans="1:19" ht="11.25">
      <c r="A9" s="258" t="s">
        <v>4</v>
      </c>
      <c r="B9" s="86">
        <v>7</v>
      </c>
      <c r="C9" s="60">
        <v>2</v>
      </c>
      <c r="D9" s="61">
        <f>C9-B9</f>
        <v>-5</v>
      </c>
      <c r="E9" s="60">
        <v>2</v>
      </c>
      <c r="F9" s="61">
        <f>E9-B9</f>
        <v>-5</v>
      </c>
      <c r="G9" s="60">
        <v>2</v>
      </c>
      <c r="H9" s="61">
        <f>G9-B9</f>
        <v>-5</v>
      </c>
      <c r="I9" s="60">
        <v>2</v>
      </c>
      <c r="J9" s="61">
        <f>I9-B9</f>
        <v>-5</v>
      </c>
      <c r="K9" s="55">
        <v>0</v>
      </c>
      <c r="L9" s="55">
        <f>K9-B9</f>
        <v>-7</v>
      </c>
      <c r="M9" s="60">
        <v>2</v>
      </c>
      <c r="N9" s="61">
        <f>M9-B9</f>
        <v>-5</v>
      </c>
      <c r="O9" s="60">
        <v>2</v>
      </c>
      <c r="P9" s="61">
        <f>O9-B9</f>
        <v>-5</v>
      </c>
      <c r="Q9" s="56">
        <f t="shared" si="0"/>
        <v>1.7142857142857142</v>
      </c>
      <c r="R9" s="59">
        <f t="shared" si="0"/>
        <v>-5.285714285714286</v>
      </c>
      <c r="S9" s="58">
        <f>R9/120</f>
        <v>-0.044047619047619044</v>
      </c>
    </row>
    <row r="10" spans="1:19" ht="11.25">
      <c r="A10" s="86"/>
      <c r="B10" s="86"/>
      <c r="C10" s="60"/>
      <c r="D10" s="61"/>
      <c r="E10" s="60"/>
      <c r="F10" s="61"/>
      <c r="G10" s="60"/>
      <c r="H10" s="61"/>
      <c r="I10" s="60"/>
      <c r="J10" s="61"/>
      <c r="K10" s="55"/>
      <c r="L10" s="55"/>
      <c r="M10" s="60"/>
      <c r="N10" s="61"/>
      <c r="O10" s="60"/>
      <c r="P10" s="61"/>
      <c r="Q10" s="60"/>
      <c r="R10" s="55"/>
      <c r="S10" s="61"/>
    </row>
    <row r="11" spans="1:19" ht="11.25">
      <c r="A11" s="264" t="s">
        <v>5</v>
      </c>
      <c r="B11" s="86">
        <v>12</v>
      </c>
      <c r="C11" s="60">
        <v>12</v>
      </c>
      <c r="D11" s="61">
        <f>C11-B11</f>
        <v>0</v>
      </c>
      <c r="E11" s="60">
        <v>14</v>
      </c>
      <c r="F11" s="61">
        <f>E11-B11</f>
        <v>2</v>
      </c>
      <c r="G11" s="60">
        <v>13</v>
      </c>
      <c r="H11" s="61">
        <f>G11-B11</f>
        <v>1</v>
      </c>
      <c r="I11" s="60">
        <v>14</v>
      </c>
      <c r="J11" s="61">
        <f>I11-B11</f>
        <v>2</v>
      </c>
      <c r="K11" s="55">
        <v>15</v>
      </c>
      <c r="L11" s="55">
        <f>K11-B11</f>
        <v>3</v>
      </c>
      <c r="M11" s="60">
        <v>18</v>
      </c>
      <c r="N11" s="61">
        <f>M11-B11</f>
        <v>6</v>
      </c>
      <c r="O11" s="60">
        <v>16.5</v>
      </c>
      <c r="P11" s="61">
        <f>O11-B11</f>
        <v>4.5</v>
      </c>
      <c r="Q11" s="56">
        <f aca="true" t="shared" si="1" ref="Q11:R18">AVERAGE(C11,E11,G11,I11,K11,M11,O11)</f>
        <v>14.642857142857142</v>
      </c>
      <c r="R11" s="57">
        <f t="shared" si="1"/>
        <v>2.642857142857143</v>
      </c>
      <c r="S11" s="58">
        <f>R11/120</f>
        <v>0.022023809523809522</v>
      </c>
    </row>
    <row r="12" spans="1:19" ht="11.25">
      <c r="A12" s="264" t="s">
        <v>6</v>
      </c>
      <c r="B12" s="86">
        <v>12</v>
      </c>
      <c r="C12" s="60">
        <v>8</v>
      </c>
      <c r="D12" s="61">
        <f>C12-B12</f>
        <v>-4</v>
      </c>
      <c r="E12" s="60">
        <v>11</v>
      </c>
      <c r="F12" s="61">
        <f>E12-B12</f>
        <v>-1</v>
      </c>
      <c r="G12" s="60">
        <v>11</v>
      </c>
      <c r="H12" s="61">
        <f>G12-B12</f>
        <v>-1</v>
      </c>
      <c r="I12" s="60">
        <v>12</v>
      </c>
      <c r="J12" s="61">
        <f>I12-B12</f>
        <v>0</v>
      </c>
      <c r="K12" s="55">
        <v>10</v>
      </c>
      <c r="L12" s="55">
        <f>K12-B12</f>
        <v>-2</v>
      </c>
      <c r="M12" s="60">
        <v>8.5</v>
      </c>
      <c r="N12" s="61">
        <f>M12-B12</f>
        <v>-3.5</v>
      </c>
      <c r="O12" s="60">
        <v>9.5</v>
      </c>
      <c r="P12" s="61">
        <f>O12-B12</f>
        <v>-2.5</v>
      </c>
      <c r="Q12" s="56">
        <f t="shared" si="1"/>
        <v>10</v>
      </c>
      <c r="R12" s="57">
        <f t="shared" si="1"/>
        <v>-2</v>
      </c>
      <c r="S12" s="58">
        <f>R12/120</f>
        <v>-0.016666666666666666</v>
      </c>
    </row>
    <row r="13" spans="1:19" ht="11.25">
      <c r="A13" s="264" t="s">
        <v>7</v>
      </c>
      <c r="B13" s="86">
        <v>9</v>
      </c>
      <c r="C13" s="60">
        <v>8</v>
      </c>
      <c r="D13" s="61">
        <f>C13-B13</f>
        <v>-1</v>
      </c>
      <c r="E13" s="60">
        <v>12</v>
      </c>
      <c r="F13" s="61">
        <f>E13-B13</f>
        <v>3</v>
      </c>
      <c r="G13" s="60">
        <v>9</v>
      </c>
      <c r="H13" s="61">
        <f>G13-B13</f>
        <v>0</v>
      </c>
      <c r="I13" s="60">
        <v>11</v>
      </c>
      <c r="J13" s="61">
        <f>I13-B13</f>
        <v>2</v>
      </c>
      <c r="K13" s="55">
        <v>9.5</v>
      </c>
      <c r="L13" s="55">
        <f>K13-B13</f>
        <v>0.5</v>
      </c>
      <c r="M13" s="60">
        <v>7</v>
      </c>
      <c r="N13" s="61">
        <f>M13-B13</f>
        <v>-2</v>
      </c>
      <c r="O13" s="60">
        <v>9</v>
      </c>
      <c r="P13" s="61">
        <f>O13-B13</f>
        <v>0</v>
      </c>
      <c r="Q13" s="56">
        <f t="shared" si="1"/>
        <v>9.357142857142858</v>
      </c>
      <c r="R13" s="57">
        <f t="shared" si="1"/>
        <v>0.35714285714285715</v>
      </c>
      <c r="S13" s="58">
        <f>R13/120</f>
        <v>0.0029761904761904765</v>
      </c>
    </row>
    <row r="14" spans="1:19" ht="11.25">
      <c r="A14" s="264" t="s">
        <v>8</v>
      </c>
      <c r="B14" s="86">
        <v>11</v>
      </c>
      <c r="C14" s="60">
        <v>15</v>
      </c>
      <c r="D14" s="61">
        <f>C14-B14</f>
        <v>4</v>
      </c>
      <c r="E14" s="60">
        <v>7</v>
      </c>
      <c r="F14" s="61">
        <f>E14-B14</f>
        <v>-4</v>
      </c>
      <c r="G14" s="60">
        <v>12</v>
      </c>
      <c r="H14" s="61">
        <f>G14-B14</f>
        <v>1</v>
      </c>
      <c r="I14" s="60">
        <v>12</v>
      </c>
      <c r="J14" s="61">
        <f>I14-B14</f>
        <v>1</v>
      </c>
      <c r="K14" s="55">
        <v>11</v>
      </c>
      <c r="L14" s="55">
        <f>K14-B14</f>
        <v>0</v>
      </c>
      <c r="M14" s="60">
        <v>13</v>
      </c>
      <c r="N14" s="61">
        <f>M14-B14</f>
        <v>2</v>
      </c>
      <c r="O14" s="60">
        <v>10.5</v>
      </c>
      <c r="P14" s="61">
        <f>O14-B14</f>
        <v>-0.5</v>
      </c>
      <c r="Q14" s="56">
        <f t="shared" si="1"/>
        <v>11.5</v>
      </c>
      <c r="R14" s="57">
        <f t="shared" si="1"/>
        <v>0.5</v>
      </c>
      <c r="S14" s="58">
        <f>R14/120</f>
        <v>0.004166666666666667</v>
      </c>
    </row>
    <row r="15" spans="1:19" ht="11.25">
      <c r="A15" s="264" t="s">
        <v>9</v>
      </c>
      <c r="B15" s="86">
        <v>6</v>
      </c>
      <c r="C15" s="60">
        <v>7</v>
      </c>
      <c r="D15" s="61">
        <f>C15-B15</f>
        <v>1</v>
      </c>
      <c r="E15" s="60">
        <v>6</v>
      </c>
      <c r="F15" s="61">
        <f>E15-B15</f>
        <v>0</v>
      </c>
      <c r="G15" s="60">
        <v>6</v>
      </c>
      <c r="H15" s="61">
        <f>G15-B15</f>
        <v>0</v>
      </c>
      <c r="I15" s="60">
        <v>6</v>
      </c>
      <c r="J15" s="61">
        <f>I15-B15</f>
        <v>0</v>
      </c>
      <c r="K15" s="55">
        <v>6</v>
      </c>
      <c r="L15" s="55">
        <f>K15-B15</f>
        <v>0</v>
      </c>
      <c r="M15" s="60">
        <v>5.5</v>
      </c>
      <c r="N15" s="61">
        <f>M15-B15</f>
        <v>-0.5</v>
      </c>
      <c r="O15" s="60">
        <v>7</v>
      </c>
      <c r="P15" s="61">
        <f>O15-B15</f>
        <v>1</v>
      </c>
      <c r="Q15" s="56">
        <f t="shared" si="1"/>
        <v>6.214285714285714</v>
      </c>
      <c r="R15" s="57">
        <f t="shared" si="1"/>
        <v>0.21428571428571427</v>
      </c>
      <c r="S15" s="58">
        <f>R15/120</f>
        <v>0.0017857142857142857</v>
      </c>
    </row>
    <row r="16" spans="1:19" ht="11.25">
      <c r="A16" s="86"/>
      <c r="B16" s="86"/>
      <c r="C16" s="60"/>
      <c r="D16" s="61"/>
      <c r="E16" s="60"/>
      <c r="F16" s="61"/>
      <c r="G16" s="60"/>
      <c r="H16" s="61"/>
      <c r="I16" s="60"/>
      <c r="J16" s="61"/>
      <c r="K16" s="55"/>
      <c r="L16" s="55"/>
      <c r="M16" s="60"/>
      <c r="N16" s="61"/>
      <c r="O16" s="60"/>
      <c r="P16" s="61"/>
      <c r="Q16" s="56"/>
      <c r="R16" s="57"/>
      <c r="S16" s="58"/>
    </row>
    <row r="17" spans="1:19" ht="11.25">
      <c r="A17" s="258" t="s">
        <v>287</v>
      </c>
      <c r="B17" s="86">
        <v>0</v>
      </c>
      <c r="C17" s="60">
        <v>1</v>
      </c>
      <c r="D17" s="61">
        <f>C17-B17</f>
        <v>1</v>
      </c>
      <c r="E17" s="60">
        <v>0</v>
      </c>
      <c r="F17" s="61">
        <f>E17-B17</f>
        <v>0</v>
      </c>
      <c r="G17" s="60">
        <v>0</v>
      </c>
      <c r="H17" s="61">
        <f>G17-B17</f>
        <v>0</v>
      </c>
      <c r="I17" s="60">
        <v>0</v>
      </c>
      <c r="J17" s="61">
        <f>I17-B17</f>
        <v>0</v>
      </c>
      <c r="K17" s="55">
        <v>0</v>
      </c>
      <c r="L17" s="55">
        <f>K17-B17</f>
        <v>0</v>
      </c>
      <c r="M17" s="60">
        <v>0</v>
      </c>
      <c r="N17" s="61">
        <f>M17-B17</f>
        <v>0</v>
      </c>
      <c r="O17" s="60">
        <v>0</v>
      </c>
      <c r="P17" s="61">
        <f>O17-B17</f>
        <v>0</v>
      </c>
      <c r="Q17" s="56">
        <f t="shared" si="1"/>
        <v>0.14285714285714285</v>
      </c>
      <c r="R17" s="57">
        <f t="shared" si="1"/>
        <v>0.14285714285714285</v>
      </c>
      <c r="S17" s="58">
        <f>R17/120</f>
        <v>0.0011904761904761904</v>
      </c>
    </row>
    <row r="18" spans="1:19" ht="11.25">
      <c r="A18" s="259" t="s">
        <v>224</v>
      </c>
      <c r="B18" s="87">
        <v>0</v>
      </c>
      <c r="C18" s="93">
        <v>1</v>
      </c>
      <c r="D18" s="85">
        <f>C18-B18</f>
        <v>1</v>
      </c>
      <c r="E18" s="93">
        <v>0</v>
      </c>
      <c r="F18" s="85">
        <f>E18-B18</f>
        <v>0</v>
      </c>
      <c r="G18" s="93">
        <v>0</v>
      </c>
      <c r="H18" s="85">
        <f>G18-B18</f>
        <v>0</v>
      </c>
      <c r="I18" s="93">
        <v>0</v>
      </c>
      <c r="J18" s="85">
        <f>I18-B18</f>
        <v>0</v>
      </c>
      <c r="K18" s="108">
        <v>0</v>
      </c>
      <c r="L18" s="83">
        <f>K18-B18</f>
        <v>0</v>
      </c>
      <c r="M18" s="93">
        <v>0</v>
      </c>
      <c r="N18" s="85">
        <f>M18-B18</f>
        <v>0</v>
      </c>
      <c r="O18" s="93">
        <v>0</v>
      </c>
      <c r="P18" s="85">
        <f>O18-B18</f>
        <v>0</v>
      </c>
      <c r="Q18" s="62">
        <f t="shared" si="1"/>
        <v>0.14285714285714285</v>
      </c>
      <c r="R18" s="63">
        <f t="shared" si="1"/>
        <v>0.14285714285714285</v>
      </c>
      <c r="S18" s="64">
        <f>R18/120</f>
        <v>0.0011904761904761904</v>
      </c>
    </row>
    <row r="19" spans="1:19" ht="11.25">
      <c r="A19" s="60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61"/>
    </row>
    <row r="20" spans="1:19" ht="11.25">
      <c r="A20" s="99" t="s">
        <v>26</v>
      </c>
      <c r="B20" s="94" t="s">
        <v>10</v>
      </c>
      <c r="C20" s="95"/>
      <c r="D20" s="95">
        <f>SUM(ABS(D5),ABS(D6),ABS(D7),ABS(D8),ABS(D9),ABS(D10),ABS(D11),ABS(D12),ABS(D13),ABS(D14),ABS(D15))</f>
        <v>24</v>
      </c>
      <c r="E20" s="99"/>
      <c r="F20" s="97">
        <f>SUM(ABS(F5),ABS(F6),ABS(F7),ABS(F8),ABS(F9),ABS(F10),ABS(F11),ABS(F12),ABS(F13),ABS(F14),ABS(F15))</f>
        <v>26</v>
      </c>
      <c r="G20" s="95"/>
      <c r="H20" s="95">
        <f>SUM(ABS(H5),ABS(H6),ABS(H7),ABS(H8),ABS(H9),ABS(H10),ABS(H11),ABS(H12),ABS(H13),ABS(H14),ABS(H15))</f>
        <v>18</v>
      </c>
      <c r="I20" s="99"/>
      <c r="J20" s="97">
        <f>SUM(ABS(J5),ABS(J6),ABS(J7),ABS(J8),ABS(J9),ABS(J10),ABS(J11),ABS(J12),ABS(J13),ABS(J14),ABS(J15))</f>
        <v>20</v>
      </c>
      <c r="K20" s="95"/>
      <c r="L20" s="95">
        <f>SUM(ABS(L5),ABS(L6),ABS(L7),ABS(L8),ABS(L9),ABS(L10),ABS(L11),ABS(L12),ABS(L13),ABS(L14),ABS(L15))</f>
        <v>20.5</v>
      </c>
      <c r="M20" s="99"/>
      <c r="N20" s="97">
        <f>SUM(ABS(N5),ABS(N6),ABS(N7),ABS(N8),ABS(N9),ABS(N10),ABS(N11),ABS(N12),ABS(N13),ABS(N14),ABS(N15))</f>
        <v>29</v>
      </c>
      <c r="O20" s="95"/>
      <c r="P20" s="95">
        <f>SUM(ABS(P5),ABS(P6),ABS(P7),ABS(P8),ABS(P9),ABS(P10),ABS(P11),ABS(P12),ABS(P13),ABS(P14),ABS(P15))</f>
        <v>22</v>
      </c>
      <c r="Q20" s="99"/>
      <c r="R20" s="96">
        <f>SUM(ABS(R5),ABS(R6),ABS(R7),ABS(R8),ABS(R9),ABS(R11),ABS(R12),ABS(R13),ABS(R14),ABS(R15))</f>
        <v>19.214285714285715</v>
      </c>
      <c r="S20" s="97"/>
    </row>
    <row r="21" spans="1:19" ht="11.25">
      <c r="A21" s="93" t="s">
        <v>27</v>
      </c>
      <c r="B21" s="101" t="s">
        <v>10</v>
      </c>
      <c r="C21" s="100"/>
      <c r="D21" s="98">
        <f>D20/120</f>
        <v>0.2</v>
      </c>
      <c r="E21" s="102"/>
      <c r="F21" s="103">
        <f>F20/120</f>
        <v>0.21666666666666667</v>
      </c>
      <c r="G21" s="100"/>
      <c r="H21" s="98">
        <f>H20/120</f>
        <v>0.15</v>
      </c>
      <c r="I21" s="102"/>
      <c r="J21" s="103">
        <f>J20/120</f>
        <v>0.16666666666666666</v>
      </c>
      <c r="K21" s="104"/>
      <c r="L21" s="98">
        <f>L20/120</f>
        <v>0.17083333333333334</v>
      </c>
      <c r="M21" s="102"/>
      <c r="N21" s="103">
        <f>N20/120</f>
        <v>0.24166666666666667</v>
      </c>
      <c r="O21" s="104"/>
      <c r="P21" s="98">
        <f>P20/120</f>
        <v>0.18333333333333332</v>
      </c>
      <c r="Q21" s="93"/>
      <c r="R21" s="98">
        <f>R20/120</f>
        <v>0.16011904761904763</v>
      </c>
      <c r="S21" s="85"/>
    </row>
    <row r="22" spans="1:19" ht="11.25">
      <c r="A22" s="60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61"/>
    </row>
    <row r="23" spans="1:19" ht="11.25">
      <c r="A23" s="109"/>
      <c r="B23" s="110" t="s">
        <v>48</v>
      </c>
      <c r="C23" s="114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301" t="s">
        <v>46</v>
      </c>
      <c r="R23" s="302"/>
      <c r="S23" s="303"/>
    </row>
    <row r="24" spans="1:19" ht="11.25">
      <c r="A24" s="60" t="s">
        <v>13</v>
      </c>
      <c r="B24" s="94">
        <f>B5+B6+B7+B8+B9</f>
        <v>70</v>
      </c>
      <c r="C24" s="60">
        <f>C5+C6+C7+C8+C9+C17+C18</f>
        <v>70</v>
      </c>
      <c r="D24" s="61">
        <f>C24-B24</f>
        <v>0</v>
      </c>
      <c r="E24" s="60">
        <f>E5+E6+E7+E8+E9</f>
        <v>70</v>
      </c>
      <c r="F24" s="61">
        <f>E24-B24</f>
        <v>0</v>
      </c>
      <c r="G24" s="55">
        <f>G5+G6+G7+G8+G9</f>
        <v>69</v>
      </c>
      <c r="H24" s="55">
        <f>G24-B24</f>
        <v>-1</v>
      </c>
      <c r="I24" s="60">
        <f>I5+I6+I7+I8+I9</f>
        <v>65</v>
      </c>
      <c r="J24" s="61">
        <f>I24-B24</f>
        <v>-5</v>
      </c>
      <c r="K24" s="55">
        <f>K5+K6+K7+K8+K9+K18</f>
        <v>69</v>
      </c>
      <c r="L24" s="55">
        <f>K24-B24</f>
        <v>-1</v>
      </c>
      <c r="M24" s="60">
        <f>M5+M6+M7+M8+M9</f>
        <v>68</v>
      </c>
      <c r="N24" s="61">
        <f>M24-B24</f>
        <v>-2</v>
      </c>
      <c r="O24" s="55">
        <f>O5+O6+O7+O8+O9</f>
        <v>67.5</v>
      </c>
      <c r="P24" s="55">
        <f>O24-B24</f>
        <v>-2.5</v>
      </c>
      <c r="Q24" s="60"/>
      <c r="R24" s="57">
        <f>AVERAGE(C24,E24,G24,I24,K24,M24,O24)</f>
        <v>68.35714285714286</v>
      </c>
      <c r="S24" s="61"/>
    </row>
    <row r="25" spans="1:19" ht="11.25">
      <c r="A25" s="60" t="s">
        <v>14</v>
      </c>
      <c r="B25" s="86">
        <f>B11+B12+B13+B14+B15</f>
        <v>50</v>
      </c>
      <c r="C25" s="60">
        <f>C11+C12+C13+C14+C15</f>
        <v>50</v>
      </c>
      <c r="D25" s="61">
        <f>C25-B25</f>
        <v>0</v>
      </c>
      <c r="E25" s="60">
        <f>E11+E12+E13+E14+E15</f>
        <v>50</v>
      </c>
      <c r="F25" s="61">
        <f>E25-B25</f>
        <v>0</v>
      </c>
      <c r="G25" s="55">
        <f>G11+G12+G13+G14+G15</f>
        <v>51</v>
      </c>
      <c r="H25" s="55">
        <f>G25-B25</f>
        <v>1</v>
      </c>
      <c r="I25" s="60">
        <f>I11+I12+I13+I14+I15</f>
        <v>55</v>
      </c>
      <c r="J25" s="61">
        <f>I25-B25</f>
        <v>5</v>
      </c>
      <c r="K25" s="55">
        <f>K11+K12+K13+K14+K15</f>
        <v>51.5</v>
      </c>
      <c r="L25" s="55">
        <f>K25-B25</f>
        <v>1.5</v>
      </c>
      <c r="M25" s="60">
        <f>M11+M12+M13+M14+M15</f>
        <v>52</v>
      </c>
      <c r="N25" s="61">
        <f>M25-B25</f>
        <v>2</v>
      </c>
      <c r="O25" s="55">
        <f>O11+O12+O13+O14+O15</f>
        <v>52.5</v>
      </c>
      <c r="P25" s="55">
        <f>O25-B25</f>
        <v>2.5</v>
      </c>
      <c r="Q25" s="60"/>
      <c r="R25" s="57">
        <f>AVERAGE(C25,E25,G25,I25,K25,M25,O25)</f>
        <v>51.714285714285715</v>
      </c>
      <c r="S25" s="61"/>
    </row>
    <row r="26" spans="1:19" ht="11.25">
      <c r="A26" s="60" t="s">
        <v>28</v>
      </c>
      <c r="B26" s="86">
        <f>ABS(B24-B25)</f>
        <v>20</v>
      </c>
      <c r="C26" s="60">
        <f>ABS(C24-C25)</f>
        <v>20</v>
      </c>
      <c r="D26" s="61">
        <f>B26-C26</f>
        <v>0</v>
      </c>
      <c r="E26" s="60">
        <f>ABS(E24-E25)</f>
        <v>20</v>
      </c>
      <c r="F26" s="61">
        <f>B26-E26</f>
        <v>0</v>
      </c>
      <c r="G26" s="55">
        <f>ABS(G24-G25)</f>
        <v>18</v>
      </c>
      <c r="H26" s="55">
        <f>B26-G26</f>
        <v>2</v>
      </c>
      <c r="I26" s="60">
        <f>ABS(I24-I25)</f>
        <v>10</v>
      </c>
      <c r="J26" s="61">
        <f>B26-I26</f>
        <v>10</v>
      </c>
      <c r="K26" s="55">
        <f>ABS(K24-K25)</f>
        <v>17.5</v>
      </c>
      <c r="L26" s="55">
        <f>B26-K26</f>
        <v>2.5</v>
      </c>
      <c r="M26" s="60">
        <f>ABS(M24-M25)</f>
        <v>16</v>
      </c>
      <c r="N26" s="61">
        <f>B26-M26</f>
        <v>4</v>
      </c>
      <c r="O26" s="55">
        <f>ABS(O24-O25)</f>
        <v>15</v>
      </c>
      <c r="P26" s="55">
        <f>B26-O26</f>
        <v>5</v>
      </c>
      <c r="Q26" s="60"/>
      <c r="R26" s="57">
        <f>AVERAGE(D26,F26,H26,J26,L26,N26,P26)</f>
        <v>3.357142857142857</v>
      </c>
      <c r="S26" s="61"/>
    </row>
    <row r="27" spans="1:19" ht="11.25">
      <c r="A27" s="60" t="s">
        <v>11</v>
      </c>
      <c r="B27" s="86"/>
      <c r="C27" s="60"/>
      <c r="D27" s="113">
        <f>D26/120</f>
        <v>0</v>
      </c>
      <c r="E27" s="60"/>
      <c r="F27" s="113">
        <f>F26/120</f>
        <v>0</v>
      </c>
      <c r="G27" s="55"/>
      <c r="H27" s="65">
        <f>H26/120</f>
        <v>0.016666666666666666</v>
      </c>
      <c r="I27" s="60"/>
      <c r="J27" s="113">
        <f>J26/120</f>
        <v>0.08333333333333333</v>
      </c>
      <c r="K27" s="55"/>
      <c r="L27" s="65">
        <f>L26/120</f>
        <v>0.020833333333333332</v>
      </c>
      <c r="M27" s="60"/>
      <c r="N27" s="113">
        <f>N26/120</f>
        <v>0.03333333333333333</v>
      </c>
      <c r="O27" s="55"/>
      <c r="P27" s="65">
        <f>P26/120</f>
        <v>0.041666666666666664</v>
      </c>
      <c r="Q27" s="60"/>
      <c r="R27" s="66">
        <f>AVERAGE(D27,F27,H27,J27,L27,N27,P27)</f>
        <v>0.02797619047619047</v>
      </c>
      <c r="S27" s="61"/>
    </row>
    <row r="28" spans="1:19" ht="11.25">
      <c r="A28" s="93" t="s">
        <v>49</v>
      </c>
      <c r="B28" s="101"/>
      <c r="C28" s="93"/>
      <c r="D28" s="92" t="s">
        <v>54</v>
      </c>
      <c r="E28" s="93"/>
      <c r="F28" s="92" t="s">
        <v>54</v>
      </c>
      <c r="G28" s="83"/>
      <c r="H28" s="84" t="s">
        <v>50</v>
      </c>
      <c r="I28" s="93"/>
      <c r="J28" s="92" t="s">
        <v>50</v>
      </c>
      <c r="K28" s="83"/>
      <c r="L28" s="84" t="s">
        <v>50</v>
      </c>
      <c r="M28" s="93"/>
      <c r="N28" s="92" t="s">
        <v>50</v>
      </c>
      <c r="O28" s="83"/>
      <c r="P28" s="84" t="s">
        <v>50</v>
      </c>
      <c r="Q28" s="93"/>
      <c r="R28" s="84" t="s">
        <v>50</v>
      </c>
      <c r="S28" s="85"/>
    </row>
    <row r="29" spans="4:12" ht="11.25">
      <c r="D29" s="67"/>
      <c r="F29" s="67"/>
      <c r="H29" s="67"/>
      <c r="J29" s="67"/>
      <c r="L29" s="67"/>
    </row>
    <row r="30" spans="1:19" ht="12.75">
      <c r="A30" s="99" t="s">
        <v>55</v>
      </c>
      <c r="B30" s="290" t="s">
        <v>61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95"/>
      <c r="O30" s="95"/>
      <c r="P30" s="95"/>
      <c r="Q30" s="97"/>
      <c r="R30" s="55"/>
      <c r="S30" s="55"/>
    </row>
    <row r="31" spans="1:19" ht="11.25">
      <c r="A31" s="60"/>
      <c r="B31" s="68" t="s">
        <v>56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55"/>
      <c r="O31" s="55"/>
      <c r="P31" s="55"/>
      <c r="Q31" s="61"/>
      <c r="R31" s="55"/>
      <c r="S31" s="55"/>
    </row>
    <row r="32" spans="1:19" ht="11.25">
      <c r="A32" s="60"/>
      <c r="B32" s="68" t="s">
        <v>289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55"/>
      <c r="O32" s="55"/>
      <c r="P32" s="55"/>
      <c r="Q32" s="61"/>
      <c r="R32" s="55"/>
      <c r="S32" s="55"/>
    </row>
    <row r="33" spans="1:19" ht="11.25">
      <c r="A33" s="93"/>
      <c r="B33" s="118" t="s">
        <v>220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83"/>
      <c r="O33" s="83"/>
      <c r="P33" s="83"/>
      <c r="Q33" s="85"/>
      <c r="R33" s="55"/>
      <c r="S33" s="55"/>
    </row>
    <row r="34" spans="2:13" ht="11.25"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</row>
    <row r="35" spans="2:13" ht="11.25"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7" spans="1:17" ht="11.25">
      <c r="A37" s="89" t="s">
        <v>18</v>
      </c>
      <c r="B37" s="296" t="s">
        <v>17</v>
      </c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119"/>
      <c r="O37" s="119"/>
      <c r="P37" s="119"/>
      <c r="Q37" s="120"/>
    </row>
    <row r="38" spans="1:17" ht="11.25">
      <c r="A38" s="94"/>
      <c r="B38" s="95"/>
      <c r="C38" s="291" t="s">
        <v>43</v>
      </c>
      <c r="D38" s="292"/>
      <c r="E38" s="297" t="s">
        <v>252</v>
      </c>
      <c r="F38" s="297"/>
      <c r="G38" s="291" t="s">
        <v>352</v>
      </c>
      <c r="H38" s="292"/>
      <c r="I38" s="291" t="s">
        <v>251</v>
      </c>
      <c r="J38" s="292"/>
      <c r="K38" s="291" t="s">
        <v>331</v>
      </c>
      <c r="L38" s="292"/>
      <c r="M38" s="297" t="s">
        <v>108</v>
      </c>
      <c r="N38" s="297"/>
      <c r="O38" s="291" t="s">
        <v>46</v>
      </c>
      <c r="P38" s="297"/>
      <c r="Q38" s="292"/>
    </row>
    <row r="39" spans="1:17" ht="11.25">
      <c r="A39" s="86"/>
      <c r="B39" s="55"/>
      <c r="C39" s="298" t="s">
        <v>339</v>
      </c>
      <c r="D39" s="299"/>
      <c r="E39" s="300" t="s">
        <v>340</v>
      </c>
      <c r="F39" s="300"/>
      <c r="G39" s="298" t="s">
        <v>341</v>
      </c>
      <c r="H39" s="299"/>
      <c r="I39" s="298" t="s">
        <v>342</v>
      </c>
      <c r="J39" s="299"/>
      <c r="K39" s="298" t="s">
        <v>343</v>
      </c>
      <c r="L39" s="299"/>
      <c r="M39" s="71"/>
      <c r="N39" s="71"/>
      <c r="O39" s="72"/>
      <c r="P39" s="71"/>
      <c r="Q39" s="88"/>
    </row>
    <row r="40" spans="1:17" ht="11.25">
      <c r="A40" s="101"/>
      <c r="B40" s="84" t="s">
        <v>348</v>
      </c>
      <c r="C40" s="115" t="s">
        <v>53</v>
      </c>
      <c r="D40" s="121" t="s">
        <v>12</v>
      </c>
      <c r="E40" s="112" t="s">
        <v>53</v>
      </c>
      <c r="F40" s="122" t="s">
        <v>12</v>
      </c>
      <c r="G40" s="115" t="s">
        <v>53</v>
      </c>
      <c r="H40" s="121" t="s">
        <v>12</v>
      </c>
      <c r="I40" s="115" t="s">
        <v>53</v>
      </c>
      <c r="J40" s="121" t="s">
        <v>12</v>
      </c>
      <c r="K40" s="115" t="s">
        <v>53</v>
      </c>
      <c r="L40" s="121" t="s">
        <v>12</v>
      </c>
      <c r="M40" s="112" t="s">
        <v>53</v>
      </c>
      <c r="N40" s="122" t="s">
        <v>12</v>
      </c>
      <c r="O40" s="115" t="s">
        <v>53</v>
      </c>
      <c r="P40" s="122" t="s">
        <v>12</v>
      </c>
      <c r="Q40" s="121" t="s">
        <v>47</v>
      </c>
    </row>
    <row r="41" spans="1:17" ht="11.25">
      <c r="A41" s="257" t="s">
        <v>1</v>
      </c>
      <c r="B41" s="95">
        <v>19</v>
      </c>
      <c r="C41" s="99">
        <v>18.5</v>
      </c>
      <c r="D41" s="97">
        <f aca="true" t="shared" si="2" ref="D41:D46">C41-B41</f>
        <v>-0.5</v>
      </c>
      <c r="E41" s="95">
        <v>18</v>
      </c>
      <c r="F41" s="95">
        <f aca="true" t="shared" si="3" ref="F41:F46">E41-B41</f>
        <v>-1</v>
      </c>
      <c r="G41" s="99">
        <v>18.5</v>
      </c>
      <c r="H41" s="97">
        <f aca="true" t="shared" si="4" ref="H41:H46">G41-B41</f>
        <v>-0.5</v>
      </c>
      <c r="I41" s="99">
        <v>17</v>
      </c>
      <c r="J41" s="97">
        <f aca="true" t="shared" si="5" ref="J41:J46">I41-B41</f>
        <v>-2</v>
      </c>
      <c r="K41" s="99">
        <v>19</v>
      </c>
      <c r="L41" s="97">
        <f aca="true" t="shared" si="6" ref="L41:L46">K41-B41</f>
        <v>0</v>
      </c>
      <c r="M41" s="95">
        <v>20</v>
      </c>
      <c r="N41" s="95">
        <f aca="true" t="shared" si="7" ref="N41:N46">M41-B41</f>
        <v>1</v>
      </c>
      <c r="O41" s="105">
        <f aca="true" t="shared" si="8" ref="O41:O46">AVERAGE(C41,E41,G41,I41,K41,M41)</f>
        <v>18.5</v>
      </c>
      <c r="P41" s="96">
        <f aca="true" t="shared" si="9" ref="P41:P46">O41-B41</f>
        <v>-0.5</v>
      </c>
      <c r="Q41" s="107">
        <f aca="true" t="shared" si="10" ref="Q41:Q46">P41/120</f>
        <v>-0.004166666666666667</v>
      </c>
    </row>
    <row r="42" spans="1:17" ht="11.25">
      <c r="A42" s="258" t="s">
        <v>22</v>
      </c>
      <c r="B42" s="55">
        <v>6</v>
      </c>
      <c r="C42" s="60">
        <v>8</v>
      </c>
      <c r="D42" s="61">
        <f t="shared" si="2"/>
        <v>2</v>
      </c>
      <c r="E42" s="55">
        <v>7</v>
      </c>
      <c r="F42" s="55">
        <f t="shared" si="3"/>
        <v>1</v>
      </c>
      <c r="G42" s="60">
        <v>9</v>
      </c>
      <c r="H42" s="61">
        <f t="shared" si="4"/>
        <v>3</v>
      </c>
      <c r="I42" s="60">
        <v>9</v>
      </c>
      <c r="J42" s="61">
        <f t="shared" si="5"/>
        <v>3</v>
      </c>
      <c r="K42" s="60">
        <v>9.5</v>
      </c>
      <c r="L42" s="61">
        <f t="shared" si="6"/>
        <v>3.5</v>
      </c>
      <c r="M42" s="55">
        <v>8</v>
      </c>
      <c r="N42" s="55">
        <f t="shared" si="7"/>
        <v>2</v>
      </c>
      <c r="O42" s="56">
        <f t="shared" si="8"/>
        <v>8.416666666666666</v>
      </c>
      <c r="P42" s="57">
        <f t="shared" si="9"/>
        <v>2.416666666666666</v>
      </c>
      <c r="Q42" s="58">
        <f t="shared" si="10"/>
        <v>0.020138888888888883</v>
      </c>
    </row>
    <row r="43" spans="1:17" ht="11.25">
      <c r="A43" s="258" t="s">
        <v>23</v>
      </c>
      <c r="B43" s="55">
        <v>15</v>
      </c>
      <c r="C43" s="60">
        <v>16</v>
      </c>
      <c r="D43" s="61">
        <f t="shared" si="2"/>
        <v>1</v>
      </c>
      <c r="E43" s="55">
        <v>15</v>
      </c>
      <c r="F43" s="55">
        <f t="shared" si="3"/>
        <v>0</v>
      </c>
      <c r="G43" s="60">
        <v>14</v>
      </c>
      <c r="H43" s="61">
        <f t="shared" si="4"/>
        <v>-1</v>
      </c>
      <c r="I43" s="60">
        <v>17</v>
      </c>
      <c r="J43" s="61">
        <f t="shared" si="5"/>
        <v>2</v>
      </c>
      <c r="K43" s="60">
        <v>12.5</v>
      </c>
      <c r="L43" s="61">
        <f t="shared" si="6"/>
        <v>-2.5</v>
      </c>
      <c r="M43" s="55">
        <v>15</v>
      </c>
      <c r="N43" s="55">
        <f t="shared" si="7"/>
        <v>0</v>
      </c>
      <c r="O43" s="56">
        <f t="shared" si="8"/>
        <v>14.916666666666666</v>
      </c>
      <c r="P43" s="57">
        <f t="shared" si="9"/>
        <v>-0.08333333333333393</v>
      </c>
      <c r="Q43" s="58">
        <f t="shared" si="10"/>
        <v>-0.0006944444444444493</v>
      </c>
    </row>
    <row r="44" spans="1:17" ht="11.25">
      <c r="A44" s="258" t="s">
        <v>24</v>
      </c>
      <c r="B44" s="55">
        <v>3</v>
      </c>
      <c r="C44" s="60">
        <v>4</v>
      </c>
      <c r="D44" s="61">
        <f t="shared" si="2"/>
        <v>1</v>
      </c>
      <c r="E44" s="55">
        <v>3</v>
      </c>
      <c r="F44" s="55">
        <f t="shared" si="3"/>
        <v>0</v>
      </c>
      <c r="G44" s="60">
        <v>2</v>
      </c>
      <c r="H44" s="61">
        <f t="shared" si="4"/>
        <v>-1</v>
      </c>
      <c r="I44" s="60">
        <v>3</v>
      </c>
      <c r="J44" s="61">
        <f t="shared" si="5"/>
        <v>0</v>
      </c>
      <c r="K44" s="60">
        <v>3</v>
      </c>
      <c r="L44" s="61">
        <f t="shared" si="6"/>
        <v>0</v>
      </c>
      <c r="M44" s="55">
        <v>3</v>
      </c>
      <c r="N44" s="55">
        <f t="shared" si="7"/>
        <v>0</v>
      </c>
      <c r="O44" s="56">
        <f t="shared" si="8"/>
        <v>3</v>
      </c>
      <c r="P44" s="57">
        <f t="shared" si="9"/>
        <v>0</v>
      </c>
      <c r="Q44" s="58">
        <f t="shared" si="10"/>
        <v>0</v>
      </c>
    </row>
    <row r="45" spans="1:17" ht="11.25">
      <c r="A45" s="258" t="s">
        <v>25</v>
      </c>
      <c r="B45" s="55">
        <v>8</v>
      </c>
      <c r="C45" s="60">
        <v>10</v>
      </c>
      <c r="D45" s="61">
        <f t="shared" si="2"/>
        <v>2</v>
      </c>
      <c r="E45" s="55">
        <v>11</v>
      </c>
      <c r="F45" s="55">
        <f t="shared" si="3"/>
        <v>3</v>
      </c>
      <c r="G45" s="60">
        <v>9</v>
      </c>
      <c r="H45" s="61">
        <f t="shared" si="4"/>
        <v>1</v>
      </c>
      <c r="I45" s="60">
        <v>10</v>
      </c>
      <c r="J45" s="61">
        <f t="shared" si="5"/>
        <v>2</v>
      </c>
      <c r="K45" s="60">
        <v>7</v>
      </c>
      <c r="L45" s="61">
        <f t="shared" si="6"/>
        <v>-1</v>
      </c>
      <c r="M45" s="55">
        <v>9</v>
      </c>
      <c r="N45" s="55">
        <f t="shared" si="7"/>
        <v>1</v>
      </c>
      <c r="O45" s="56">
        <f t="shared" si="8"/>
        <v>9.333333333333334</v>
      </c>
      <c r="P45" s="57">
        <f t="shared" si="9"/>
        <v>1.333333333333334</v>
      </c>
      <c r="Q45" s="58">
        <f t="shared" si="10"/>
        <v>0.011111111111111117</v>
      </c>
    </row>
    <row r="46" spans="1:17" ht="11.25">
      <c r="A46" s="258" t="s">
        <v>224</v>
      </c>
      <c r="B46" s="55">
        <v>0</v>
      </c>
      <c r="C46" s="60">
        <v>0</v>
      </c>
      <c r="D46" s="61">
        <f t="shared" si="2"/>
        <v>0</v>
      </c>
      <c r="E46" s="55">
        <v>1</v>
      </c>
      <c r="F46" s="55">
        <f t="shared" si="3"/>
        <v>1</v>
      </c>
      <c r="G46" s="60">
        <v>0</v>
      </c>
      <c r="H46" s="61">
        <f t="shared" si="4"/>
        <v>0</v>
      </c>
      <c r="I46" s="60">
        <v>0</v>
      </c>
      <c r="J46" s="61">
        <f t="shared" si="5"/>
        <v>0</v>
      </c>
      <c r="K46" s="60">
        <v>2.5</v>
      </c>
      <c r="L46" s="61">
        <f t="shared" si="6"/>
        <v>2.5</v>
      </c>
      <c r="M46" s="55">
        <v>0</v>
      </c>
      <c r="N46" s="55">
        <f t="shared" si="7"/>
        <v>0</v>
      </c>
      <c r="O46" s="56">
        <f t="shared" si="8"/>
        <v>0.5833333333333334</v>
      </c>
      <c r="P46" s="57">
        <f t="shared" si="9"/>
        <v>0.5833333333333334</v>
      </c>
      <c r="Q46" s="58">
        <f t="shared" si="10"/>
        <v>0.004861111111111111</v>
      </c>
    </row>
    <row r="47" spans="1:17" ht="11.25">
      <c r="A47" s="86"/>
      <c r="B47" s="55"/>
      <c r="C47" s="60"/>
      <c r="D47" s="61"/>
      <c r="E47" s="55"/>
      <c r="F47" s="55"/>
      <c r="G47" s="60"/>
      <c r="H47" s="61"/>
      <c r="I47" s="60"/>
      <c r="J47" s="61"/>
      <c r="K47" s="60"/>
      <c r="L47" s="61"/>
      <c r="M47" s="55"/>
      <c r="N47" s="55"/>
      <c r="O47" s="56"/>
      <c r="P47" s="55"/>
      <c r="Q47" s="61"/>
    </row>
    <row r="48" spans="1:17" ht="11.25">
      <c r="A48" s="264" t="s">
        <v>5</v>
      </c>
      <c r="B48" s="55">
        <v>38</v>
      </c>
      <c r="C48" s="60">
        <v>33</v>
      </c>
      <c r="D48" s="61">
        <f aca="true" t="shared" si="11" ref="D48:D54">C48-B48</f>
        <v>-5</v>
      </c>
      <c r="E48" s="55">
        <v>32</v>
      </c>
      <c r="F48" s="55">
        <f aca="true" t="shared" si="12" ref="F48:F53">E48-B48</f>
        <v>-6</v>
      </c>
      <c r="G48" s="60">
        <v>30.5</v>
      </c>
      <c r="H48" s="61">
        <f aca="true" t="shared" si="13" ref="H48:H54">G48-B48</f>
        <v>-7.5</v>
      </c>
      <c r="I48" s="60">
        <v>32</v>
      </c>
      <c r="J48" s="61">
        <f aca="true" t="shared" si="14" ref="J48:J54">I48-B48</f>
        <v>-6</v>
      </c>
      <c r="K48" s="60">
        <v>30</v>
      </c>
      <c r="L48" s="61">
        <f aca="true" t="shared" si="15" ref="L48:L54">K48-B48</f>
        <v>-8</v>
      </c>
      <c r="M48" s="55">
        <v>32</v>
      </c>
      <c r="N48" s="55">
        <f aca="true" t="shared" si="16" ref="N48:N54">M48-B48</f>
        <v>-6</v>
      </c>
      <c r="O48" s="56">
        <f aca="true" t="shared" si="17" ref="O48:O54">AVERAGE(C48,E48,G48,I48,K48,M48)</f>
        <v>31.583333333333332</v>
      </c>
      <c r="P48" s="59">
        <f aca="true" t="shared" si="18" ref="P48:P54">O48-B48</f>
        <v>-6.416666666666668</v>
      </c>
      <c r="Q48" s="58">
        <f aca="true" t="shared" si="19" ref="Q48:Q54">P48/120</f>
        <v>-0.053472222222222233</v>
      </c>
    </row>
    <row r="49" spans="1:17" ht="11.25">
      <c r="A49" s="264" t="s">
        <v>6</v>
      </c>
      <c r="B49" s="55">
        <v>11</v>
      </c>
      <c r="C49" s="60">
        <v>10.5</v>
      </c>
      <c r="D49" s="61">
        <f t="shared" si="11"/>
        <v>-0.5</v>
      </c>
      <c r="E49" s="55">
        <v>11</v>
      </c>
      <c r="F49" s="55">
        <f t="shared" si="12"/>
        <v>0</v>
      </c>
      <c r="G49" s="60">
        <v>13</v>
      </c>
      <c r="H49" s="61">
        <f t="shared" si="13"/>
        <v>2</v>
      </c>
      <c r="I49" s="60">
        <v>11</v>
      </c>
      <c r="J49" s="61">
        <f t="shared" si="14"/>
        <v>0</v>
      </c>
      <c r="K49" s="60">
        <v>10</v>
      </c>
      <c r="L49" s="61">
        <f t="shared" si="15"/>
        <v>-1</v>
      </c>
      <c r="M49" s="55">
        <v>10</v>
      </c>
      <c r="N49" s="55">
        <f t="shared" si="16"/>
        <v>-1</v>
      </c>
      <c r="O49" s="56">
        <f t="shared" si="17"/>
        <v>10.916666666666666</v>
      </c>
      <c r="P49" s="57">
        <f t="shared" si="18"/>
        <v>-0.08333333333333393</v>
      </c>
      <c r="Q49" s="58">
        <f t="shared" si="19"/>
        <v>-0.0006944444444444493</v>
      </c>
    </row>
    <row r="50" spans="1:17" ht="11.25">
      <c r="A50" s="264" t="s">
        <v>19</v>
      </c>
      <c r="B50" s="55">
        <v>7</v>
      </c>
      <c r="C50" s="60">
        <v>8</v>
      </c>
      <c r="D50" s="61">
        <f t="shared" si="11"/>
        <v>1</v>
      </c>
      <c r="E50" s="55">
        <v>8</v>
      </c>
      <c r="F50" s="55">
        <f t="shared" si="12"/>
        <v>1</v>
      </c>
      <c r="G50" s="60">
        <v>9</v>
      </c>
      <c r="H50" s="61">
        <f t="shared" si="13"/>
        <v>2</v>
      </c>
      <c r="I50" s="60">
        <v>8</v>
      </c>
      <c r="J50" s="61">
        <f t="shared" si="14"/>
        <v>1</v>
      </c>
      <c r="K50" s="60">
        <v>8</v>
      </c>
      <c r="L50" s="61">
        <f t="shared" si="15"/>
        <v>1</v>
      </c>
      <c r="M50" s="55">
        <v>10</v>
      </c>
      <c r="N50" s="55">
        <f t="shared" si="16"/>
        <v>3</v>
      </c>
      <c r="O50" s="56">
        <f t="shared" si="17"/>
        <v>8.5</v>
      </c>
      <c r="P50" s="57">
        <f t="shared" si="18"/>
        <v>1.5</v>
      </c>
      <c r="Q50" s="58">
        <f t="shared" si="19"/>
        <v>0.0125</v>
      </c>
    </row>
    <row r="51" spans="1:17" ht="11.25">
      <c r="A51" s="264" t="s">
        <v>20</v>
      </c>
      <c r="B51" s="55">
        <v>6</v>
      </c>
      <c r="C51" s="60">
        <v>4</v>
      </c>
      <c r="D51" s="61">
        <f t="shared" si="11"/>
        <v>-2</v>
      </c>
      <c r="E51" s="55">
        <v>5</v>
      </c>
      <c r="F51" s="55">
        <f t="shared" si="12"/>
        <v>-1</v>
      </c>
      <c r="G51" s="60">
        <v>5</v>
      </c>
      <c r="H51" s="61">
        <f t="shared" si="13"/>
        <v>-1</v>
      </c>
      <c r="I51" s="60">
        <v>5</v>
      </c>
      <c r="J51" s="61">
        <f t="shared" si="14"/>
        <v>-1</v>
      </c>
      <c r="K51" s="60">
        <v>5</v>
      </c>
      <c r="L51" s="61">
        <f t="shared" si="15"/>
        <v>-1</v>
      </c>
      <c r="M51" s="55">
        <v>4</v>
      </c>
      <c r="N51" s="55">
        <f t="shared" si="16"/>
        <v>-2</v>
      </c>
      <c r="O51" s="56">
        <f t="shared" si="17"/>
        <v>4.666666666666667</v>
      </c>
      <c r="P51" s="57">
        <f t="shared" si="18"/>
        <v>-1.333333333333333</v>
      </c>
      <c r="Q51" s="58">
        <f t="shared" si="19"/>
        <v>-0.011111111111111108</v>
      </c>
    </row>
    <row r="52" spans="1:17" ht="11.25">
      <c r="A52" s="264" t="s">
        <v>9</v>
      </c>
      <c r="B52" s="55">
        <v>5</v>
      </c>
      <c r="C52" s="60">
        <v>5</v>
      </c>
      <c r="D52" s="61">
        <f t="shared" si="11"/>
        <v>0</v>
      </c>
      <c r="E52" s="55">
        <v>5</v>
      </c>
      <c r="F52" s="55">
        <f t="shared" si="12"/>
        <v>0</v>
      </c>
      <c r="G52" s="60">
        <v>5</v>
      </c>
      <c r="H52" s="61">
        <f t="shared" si="13"/>
        <v>0</v>
      </c>
      <c r="I52" s="60">
        <v>5</v>
      </c>
      <c r="J52" s="61">
        <f t="shared" si="14"/>
        <v>0</v>
      </c>
      <c r="K52" s="60">
        <v>4.5</v>
      </c>
      <c r="L52" s="61">
        <f t="shared" si="15"/>
        <v>-0.5</v>
      </c>
      <c r="M52" s="55">
        <v>5</v>
      </c>
      <c r="N52" s="55">
        <f t="shared" si="16"/>
        <v>0</v>
      </c>
      <c r="O52" s="56">
        <f t="shared" si="17"/>
        <v>4.916666666666667</v>
      </c>
      <c r="P52" s="57">
        <f t="shared" si="18"/>
        <v>-0.08333333333333304</v>
      </c>
      <c r="Q52" s="58">
        <f t="shared" si="19"/>
        <v>-0.000694444444444442</v>
      </c>
    </row>
    <row r="53" spans="1:17" s="55" customFormat="1" ht="11.25">
      <c r="A53" s="264" t="s">
        <v>21</v>
      </c>
      <c r="B53" s="55">
        <v>2</v>
      </c>
      <c r="C53" s="60">
        <v>3</v>
      </c>
      <c r="D53" s="61">
        <f t="shared" si="11"/>
        <v>1</v>
      </c>
      <c r="E53" s="55">
        <v>3</v>
      </c>
      <c r="F53" s="55">
        <f t="shared" si="12"/>
        <v>1</v>
      </c>
      <c r="G53" s="60">
        <v>5</v>
      </c>
      <c r="H53" s="61">
        <f t="shared" si="13"/>
        <v>3</v>
      </c>
      <c r="I53" s="60">
        <v>3</v>
      </c>
      <c r="J53" s="61">
        <f t="shared" si="14"/>
        <v>1</v>
      </c>
      <c r="K53" s="60">
        <v>6</v>
      </c>
      <c r="L53" s="61">
        <f t="shared" si="15"/>
        <v>4</v>
      </c>
      <c r="M53" s="55">
        <v>3</v>
      </c>
      <c r="N53" s="55">
        <f t="shared" si="16"/>
        <v>1</v>
      </c>
      <c r="O53" s="56">
        <f t="shared" si="17"/>
        <v>3.8333333333333335</v>
      </c>
      <c r="P53" s="57">
        <f t="shared" si="18"/>
        <v>1.8333333333333335</v>
      </c>
      <c r="Q53" s="58">
        <f t="shared" si="19"/>
        <v>0.015277777777777779</v>
      </c>
    </row>
    <row r="54" spans="1:17" ht="11.25">
      <c r="A54" s="266" t="s">
        <v>337</v>
      </c>
      <c r="B54" s="83">
        <v>0</v>
      </c>
      <c r="C54" s="93">
        <v>0</v>
      </c>
      <c r="D54" s="85">
        <f t="shared" si="11"/>
        <v>0</v>
      </c>
      <c r="E54" s="83">
        <v>1</v>
      </c>
      <c r="F54" s="83">
        <v>0</v>
      </c>
      <c r="G54" s="93">
        <v>0</v>
      </c>
      <c r="H54" s="85">
        <f t="shared" si="13"/>
        <v>0</v>
      </c>
      <c r="I54" s="93">
        <v>0</v>
      </c>
      <c r="J54" s="85">
        <f t="shared" si="14"/>
        <v>0</v>
      </c>
      <c r="K54" s="93">
        <v>2</v>
      </c>
      <c r="L54" s="85">
        <f t="shared" si="15"/>
        <v>2</v>
      </c>
      <c r="M54" s="83">
        <v>0</v>
      </c>
      <c r="N54" s="83">
        <f t="shared" si="16"/>
        <v>0</v>
      </c>
      <c r="O54" s="62">
        <f t="shared" si="17"/>
        <v>0.5</v>
      </c>
      <c r="P54" s="63">
        <f t="shared" si="18"/>
        <v>0.5</v>
      </c>
      <c r="Q54" s="64">
        <f t="shared" si="19"/>
        <v>0.004166666666666667</v>
      </c>
    </row>
    <row r="55" spans="1:17" ht="11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ht="11.25">
      <c r="A56" s="94" t="s">
        <v>26</v>
      </c>
      <c r="B56" s="95"/>
      <c r="C56" s="99"/>
      <c r="D56" s="97">
        <f>SUM(ABS(D41),ABS(D42),ABS(D43),ABS(D44),ABS(D45),ABS(D47),ABS(D48),ABS(D49),ABS(D50),ABS(D51),ABS(D52),ABS(D54))</f>
        <v>15</v>
      </c>
      <c r="E56" s="95"/>
      <c r="F56" s="95">
        <f>SUM(ABS(F41),ABS(F42),ABS(F43),ABS(F44),ABS(F45),ABS(F47),ABS(F48),ABS(F49),ABS(F50),ABS(F51),ABS(F52),ABS(F54))</f>
        <v>13</v>
      </c>
      <c r="G56" s="99"/>
      <c r="H56" s="97">
        <f>SUM(ABS(H41),ABS(H42),ABS(H43),ABS(H44),ABS(H45),ABS(H47),ABS(H48),ABS(H49),ABS(H50),ABS(H51),ABS(H52),ABS(H54))</f>
        <v>19</v>
      </c>
      <c r="I56" s="95"/>
      <c r="J56" s="95">
        <f>SUM(ABS(J41),ABS(J42),ABS(J43),ABS(J44),ABS(J45),ABS(J47),ABS(J48),ABS(J49),ABS(J50),ABS(J51),ABS(J52),ABS(J54))</f>
        <v>17</v>
      </c>
      <c r="K56" s="99"/>
      <c r="L56" s="97">
        <f>SUM(ABS(L41),ABS(L42),ABS(L43),ABS(L44),ABS(L45),ABS(L47),ABS(L48),ABS(L49),ABS(L50),ABS(L51),ABS(L52),ABS(L54))</f>
        <v>20.5</v>
      </c>
      <c r="M56" s="95"/>
      <c r="N56" s="95">
        <f>SUM(ABS(N41),ABS(N42),ABS(N43),ABS(N44),ABS(N45),ABS(N47),ABS(N48),ABS(N49),ABS(N50),ABS(N51),ABS(N52),ABS(N54))</f>
        <v>16</v>
      </c>
      <c r="O56" s="99"/>
      <c r="P56" s="96">
        <f>SUM(ABS(P41),ABS(P42),ABS(P43),ABS(P44),ABS(P45),ABS(P47),ABS(P48),ABS(P49),ABS(P50),ABS(P51),ABS(P52),ABS(P54))</f>
        <v>14.25</v>
      </c>
      <c r="Q56" s="97"/>
    </row>
    <row r="57" spans="1:17" ht="11.25">
      <c r="A57" s="101" t="s">
        <v>27</v>
      </c>
      <c r="B57" s="83"/>
      <c r="C57" s="93"/>
      <c r="D57" s="103">
        <f>D56/120</f>
        <v>0.125</v>
      </c>
      <c r="E57" s="83"/>
      <c r="F57" s="98">
        <f>F56/120</f>
        <v>0.10833333333333334</v>
      </c>
      <c r="G57" s="93"/>
      <c r="H57" s="103">
        <f>H56/120</f>
        <v>0.15833333333333333</v>
      </c>
      <c r="I57" s="83"/>
      <c r="J57" s="98">
        <f>J56/120</f>
        <v>0.14166666666666666</v>
      </c>
      <c r="K57" s="93"/>
      <c r="L57" s="103">
        <f>L56/120</f>
        <v>0.17083333333333334</v>
      </c>
      <c r="M57" s="83"/>
      <c r="N57" s="98">
        <f>N56/120</f>
        <v>0.13333333333333333</v>
      </c>
      <c r="O57" s="93"/>
      <c r="P57" s="98">
        <f>P56/120</f>
        <v>0.11875</v>
      </c>
      <c r="Q57" s="85"/>
    </row>
    <row r="59" spans="1:17" ht="11.25">
      <c r="A59" s="124"/>
      <c r="B59" s="281" t="s">
        <v>48</v>
      </c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3"/>
      <c r="O59" s="302" t="s">
        <v>46</v>
      </c>
      <c r="P59" s="302"/>
      <c r="Q59" s="303"/>
    </row>
    <row r="60" spans="1:17" ht="11.25">
      <c r="A60" s="99" t="s">
        <v>13</v>
      </c>
      <c r="B60" s="99">
        <v>51</v>
      </c>
      <c r="C60" s="99">
        <v>56.5</v>
      </c>
      <c r="D60" s="97">
        <f>B60-C60</f>
        <v>-5.5</v>
      </c>
      <c r="E60" s="95">
        <v>55</v>
      </c>
      <c r="F60" s="95">
        <f>B60-E60</f>
        <v>-4</v>
      </c>
      <c r="G60" s="99">
        <v>52.5</v>
      </c>
      <c r="H60" s="97">
        <f>B60-G60</f>
        <v>-1.5</v>
      </c>
      <c r="I60" s="95">
        <v>56</v>
      </c>
      <c r="J60" s="95">
        <f>B60-I60</f>
        <v>-5</v>
      </c>
      <c r="K60" s="99">
        <v>53.5</v>
      </c>
      <c r="L60" s="97">
        <f>B60-K60</f>
        <v>-2.5</v>
      </c>
      <c r="M60" s="95">
        <v>55</v>
      </c>
      <c r="N60" s="97">
        <f>B60-M60</f>
        <v>-4</v>
      </c>
      <c r="O60" s="95"/>
      <c r="P60" s="96">
        <f>AVERAGE(C60,E60,G60,I60,K60,M60)</f>
        <v>54.75</v>
      </c>
      <c r="Q60" s="97"/>
    </row>
    <row r="61" spans="1:17" ht="11.25">
      <c r="A61" s="60" t="s">
        <v>14</v>
      </c>
      <c r="B61" s="60">
        <v>69</v>
      </c>
      <c r="C61" s="60">
        <v>63.5</v>
      </c>
      <c r="D61" s="61">
        <f>B61-C61</f>
        <v>5.5</v>
      </c>
      <c r="E61" s="55">
        <v>65</v>
      </c>
      <c r="F61" s="55">
        <f>B61-E61</f>
        <v>4</v>
      </c>
      <c r="G61" s="60">
        <v>67.5</v>
      </c>
      <c r="H61" s="61">
        <f>B61-G61</f>
        <v>1.5</v>
      </c>
      <c r="I61" s="55">
        <v>64</v>
      </c>
      <c r="J61" s="55">
        <f>B61-I61</f>
        <v>5</v>
      </c>
      <c r="K61" s="60">
        <v>65.5</v>
      </c>
      <c r="L61" s="61">
        <f>B61-K61</f>
        <v>3.5</v>
      </c>
      <c r="M61" s="55">
        <v>64</v>
      </c>
      <c r="N61" s="61">
        <f>B61-M61</f>
        <v>5</v>
      </c>
      <c r="O61" s="55"/>
      <c r="P61" s="57">
        <f>AVERAGE(C61,E61,G61,I61,K61,M61)</f>
        <v>64.91666666666667</v>
      </c>
      <c r="Q61" s="61"/>
    </row>
    <row r="62" spans="1:17" ht="11.25">
      <c r="A62" s="60" t="s">
        <v>15</v>
      </c>
      <c r="B62" s="60">
        <f>ABS(B60-B61)</f>
        <v>18</v>
      </c>
      <c r="C62" s="60">
        <f>ABS(C60-C61)</f>
        <v>7</v>
      </c>
      <c r="D62" s="61">
        <f>ABS(B62-C62)</f>
        <v>11</v>
      </c>
      <c r="E62" s="55">
        <f>ABS(E60-E61)</f>
        <v>10</v>
      </c>
      <c r="F62" s="55">
        <f>ABS(B62-E62)</f>
        <v>8</v>
      </c>
      <c r="G62" s="60">
        <f>ABS(G60-G61)</f>
        <v>15</v>
      </c>
      <c r="H62" s="61">
        <f>ABS(B62-G62)</f>
        <v>3</v>
      </c>
      <c r="I62" s="55">
        <f>ABS(I60-I61)</f>
        <v>8</v>
      </c>
      <c r="J62" s="55">
        <f>ABS(B62-I62)</f>
        <v>10</v>
      </c>
      <c r="K62" s="60">
        <f>ABS(K60-K61)</f>
        <v>12</v>
      </c>
      <c r="L62" s="61">
        <f>ABS(B62-K62)</f>
        <v>6</v>
      </c>
      <c r="M62" s="55">
        <f>ABS(M60-M61)</f>
        <v>9</v>
      </c>
      <c r="N62" s="61">
        <f>ABS(B62-M62)</f>
        <v>9</v>
      </c>
      <c r="O62" s="55"/>
      <c r="P62" s="57">
        <f>AVERAGE(D62,F62,H62,J62,L62,N62)</f>
        <v>7.833333333333333</v>
      </c>
      <c r="Q62" s="61"/>
    </row>
    <row r="63" spans="1:17" ht="13.5" customHeight="1">
      <c r="A63" s="60" t="s">
        <v>11</v>
      </c>
      <c r="B63" s="60"/>
      <c r="C63" s="60"/>
      <c r="D63" s="113">
        <f>D62/120</f>
        <v>0.09166666666666666</v>
      </c>
      <c r="E63" s="55"/>
      <c r="F63" s="65">
        <f>F62/120</f>
        <v>0.06666666666666667</v>
      </c>
      <c r="G63" s="60"/>
      <c r="H63" s="113">
        <f>H62/120</f>
        <v>0.025</v>
      </c>
      <c r="I63" s="55"/>
      <c r="J63" s="65">
        <f>J62/120</f>
        <v>0.08333333333333333</v>
      </c>
      <c r="K63" s="60"/>
      <c r="L63" s="113">
        <f>L62/120</f>
        <v>0.05</v>
      </c>
      <c r="M63" s="55"/>
      <c r="N63" s="113">
        <f>N62/120</f>
        <v>0.075</v>
      </c>
      <c r="O63" s="55"/>
      <c r="P63" s="66">
        <f>AVERAGE(D63,F63,H63,J63,L63,N63)</f>
        <v>0.06527777777777778</v>
      </c>
      <c r="Q63" s="61"/>
    </row>
    <row r="64" spans="1:17" ht="11.25">
      <c r="A64" s="93" t="s">
        <v>49</v>
      </c>
      <c r="B64" s="102"/>
      <c r="C64" s="93"/>
      <c r="D64" s="125" t="s">
        <v>51</v>
      </c>
      <c r="E64" s="104"/>
      <c r="F64" s="123" t="s">
        <v>51</v>
      </c>
      <c r="G64" s="93"/>
      <c r="H64" s="125" t="s">
        <v>51</v>
      </c>
      <c r="I64" s="104"/>
      <c r="J64" s="123" t="s">
        <v>51</v>
      </c>
      <c r="K64" s="102"/>
      <c r="L64" s="125" t="s">
        <v>51</v>
      </c>
      <c r="M64" s="83"/>
      <c r="N64" s="125" t="s">
        <v>51</v>
      </c>
      <c r="O64" s="83"/>
      <c r="P64" s="84" t="s">
        <v>51</v>
      </c>
      <c r="Q64" s="85"/>
    </row>
    <row r="65" spans="2:16" ht="11.25">
      <c r="B65" s="73"/>
      <c r="D65" s="74"/>
      <c r="E65" s="73"/>
      <c r="F65" s="74"/>
      <c r="H65" s="74"/>
      <c r="I65" s="73"/>
      <c r="J65" s="74"/>
      <c r="K65" s="73"/>
      <c r="L65" s="74"/>
      <c r="N65" s="74"/>
      <c r="P65" s="67"/>
    </row>
    <row r="66" spans="1:16" ht="12.75">
      <c r="A66" s="99" t="s">
        <v>55</v>
      </c>
      <c r="B66" s="293" t="s">
        <v>60</v>
      </c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5"/>
    </row>
    <row r="67" spans="1:16" ht="11.25">
      <c r="A67" s="60"/>
      <c r="B67" s="75" t="s">
        <v>336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126"/>
    </row>
    <row r="68" spans="1:16" ht="11.25">
      <c r="A68" s="93"/>
      <c r="B68" s="289" t="s">
        <v>57</v>
      </c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70"/>
    </row>
    <row r="72" spans="1:9" ht="11.25">
      <c r="A72" s="89" t="s">
        <v>52</v>
      </c>
      <c r="B72" s="296" t="s">
        <v>37</v>
      </c>
      <c r="C72" s="296"/>
      <c r="D72" s="296"/>
      <c r="E72" s="296"/>
      <c r="F72" s="296"/>
      <c r="G72" s="296"/>
      <c r="H72" s="296"/>
      <c r="I72" s="306"/>
    </row>
    <row r="73" spans="1:9" ht="11.25">
      <c r="A73" s="86"/>
      <c r="B73" s="55"/>
      <c r="C73" s="301" t="s">
        <v>38</v>
      </c>
      <c r="D73" s="302"/>
      <c r="E73" s="301" t="s">
        <v>43</v>
      </c>
      <c r="F73" s="303"/>
      <c r="G73" s="302" t="s">
        <v>46</v>
      </c>
      <c r="H73" s="302"/>
      <c r="I73" s="303"/>
    </row>
    <row r="74" spans="1:9" ht="11.25">
      <c r="A74" s="101"/>
      <c r="B74" s="84" t="s">
        <v>348</v>
      </c>
      <c r="C74" s="115" t="s">
        <v>53</v>
      </c>
      <c r="D74" s="122" t="s">
        <v>12</v>
      </c>
      <c r="E74" s="91" t="s">
        <v>53</v>
      </c>
      <c r="F74" s="85" t="s">
        <v>12</v>
      </c>
      <c r="G74" s="84" t="s">
        <v>53</v>
      </c>
      <c r="H74" s="83" t="s">
        <v>12</v>
      </c>
      <c r="I74" s="85" t="s">
        <v>47</v>
      </c>
    </row>
    <row r="75" spans="1:9" ht="11.25">
      <c r="A75" s="258" t="s">
        <v>29</v>
      </c>
      <c r="B75" s="55">
        <v>26</v>
      </c>
      <c r="C75" s="60">
        <v>28.5</v>
      </c>
      <c r="D75" s="55">
        <f aca="true" t="shared" si="20" ref="D75:D80">C75-B75</f>
        <v>2.5</v>
      </c>
      <c r="E75" s="60">
        <v>27.5</v>
      </c>
      <c r="F75" s="61">
        <f aca="true" t="shared" si="21" ref="F75:F80">E75-B75</f>
        <v>1.5</v>
      </c>
      <c r="G75" s="57">
        <f aca="true" t="shared" si="22" ref="G75:G80">AVERAGE(C75,E75)</f>
        <v>28</v>
      </c>
      <c r="H75" s="57">
        <f aca="true" t="shared" si="23" ref="H75:H80">G75-B75</f>
        <v>2</v>
      </c>
      <c r="I75" s="58">
        <f aca="true" t="shared" si="24" ref="I75:I80">H75/120</f>
        <v>0.016666666666666666</v>
      </c>
    </row>
    <row r="76" spans="1:9" ht="11.25">
      <c r="A76" s="258" t="s">
        <v>30</v>
      </c>
      <c r="B76" s="55">
        <v>10</v>
      </c>
      <c r="C76" s="60">
        <v>9.5</v>
      </c>
      <c r="D76" s="55">
        <f t="shared" si="20"/>
        <v>-0.5</v>
      </c>
      <c r="E76" s="60">
        <v>9.5</v>
      </c>
      <c r="F76" s="61">
        <f t="shared" si="21"/>
        <v>-0.5</v>
      </c>
      <c r="G76" s="57">
        <f t="shared" si="22"/>
        <v>9.5</v>
      </c>
      <c r="H76" s="57">
        <f t="shared" si="23"/>
        <v>-0.5</v>
      </c>
      <c r="I76" s="58">
        <f t="shared" si="24"/>
        <v>-0.004166666666666667</v>
      </c>
    </row>
    <row r="77" spans="1:9" ht="11.25">
      <c r="A77" s="258" t="s">
        <v>31</v>
      </c>
      <c r="B77" s="55">
        <v>6</v>
      </c>
      <c r="C77" s="60">
        <v>6.5</v>
      </c>
      <c r="D77" s="55">
        <f t="shared" si="20"/>
        <v>0.5</v>
      </c>
      <c r="E77" s="60">
        <v>5</v>
      </c>
      <c r="F77" s="61">
        <f t="shared" si="21"/>
        <v>-1</v>
      </c>
      <c r="G77" s="57">
        <f t="shared" si="22"/>
        <v>5.75</v>
      </c>
      <c r="H77" s="57">
        <f t="shared" si="23"/>
        <v>-0.25</v>
      </c>
      <c r="I77" s="58">
        <f t="shared" si="24"/>
        <v>-0.0020833333333333333</v>
      </c>
    </row>
    <row r="78" spans="1:9" ht="11.25">
      <c r="A78" s="258" t="s">
        <v>32</v>
      </c>
      <c r="B78" s="55">
        <v>6</v>
      </c>
      <c r="C78" s="60">
        <v>4.5</v>
      </c>
      <c r="D78" s="55">
        <f t="shared" si="20"/>
        <v>-1.5</v>
      </c>
      <c r="E78" s="60">
        <v>5.5</v>
      </c>
      <c r="F78" s="61">
        <f t="shared" si="21"/>
        <v>-0.5</v>
      </c>
      <c r="G78" s="57">
        <f t="shared" si="22"/>
        <v>5</v>
      </c>
      <c r="H78" s="57">
        <f t="shared" si="23"/>
        <v>-1</v>
      </c>
      <c r="I78" s="58">
        <f t="shared" si="24"/>
        <v>-0.008333333333333333</v>
      </c>
    </row>
    <row r="79" spans="1:9" ht="11.25">
      <c r="A79" s="258" t="s">
        <v>33</v>
      </c>
      <c r="B79" s="55">
        <v>2</v>
      </c>
      <c r="C79" s="60">
        <v>1</v>
      </c>
      <c r="D79" s="55">
        <f t="shared" si="20"/>
        <v>-1</v>
      </c>
      <c r="E79" s="60">
        <v>2</v>
      </c>
      <c r="F79" s="61">
        <f t="shared" si="21"/>
        <v>0</v>
      </c>
      <c r="G79" s="57">
        <f t="shared" si="22"/>
        <v>1.5</v>
      </c>
      <c r="H79" s="57">
        <f t="shared" si="23"/>
        <v>-0.5</v>
      </c>
      <c r="I79" s="58">
        <f t="shared" si="24"/>
        <v>-0.004166666666666667</v>
      </c>
    </row>
    <row r="80" spans="1:9" ht="11.25">
      <c r="A80" s="258" t="s">
        <v>25</v>
      </c>
      <c r="B80" s="55">
        <v>10</v>
      </c>
      <c r="C80" s="60">
        <v>8.5</v>
      </c>
      <c r="D80" s="55">
        <f t="shared" si="20"/>
        <v>-1.5</v>
      </c>
      <c r="E80" s="60">
        <v>11</v>
      </c>
      <c r="F80" s="61">
        <f t="shared" si="21"/>
        <v>1</v>
      </c>
      <c r="G80" s="57">
        <f t="shared" si="22"/>
        <v>9.75</v>
      </c>
      <c r="H80" s="57">
        <f t="shared" si="23"/>
        <v>-0.25</v>
      </c>
      <c r="I80" s="58">
        <f t="shared" si="24"/>
        <v>-0.0020833333333333333</v>
      </c>
    </row>
    <row r="81" spans="1:9" ht="11.25">
      <c r="A81" s="86"/>
      <c r="B81" s="55"/>
      <c r="C81" s="60"/>
      <c r="D81" s="55"/>
      <c r="E81" s="60"/>
      <c r="F81" s="61"/>
      <c r="G81" s="55"/>
      <c r="H81" s="55"/>
      <c r="I81" s="61"/>
    </row>
    <row r="82" spans="1:9" ht="11.25">
      <c r="A82" s="264" t="s">
        <v>34</v>
      </c>
      <c r="B82" s="55">
        <v>19</v>
      </c>
      <c r="C82" s="60">
        <v>19.5</v>
      </c>
      <c r="D82" s="55">
        <f aca="true" t="shared" si="25" ref="D82:D88">C82-B82</f>
        <v>0.5</v>
      </c>
      <c r="E82" s="60">
        <v>21</v>
      </c>
      <c r="F82" s="61">
        <f aca="true" t="shared" si="26" ref="F82:F88">E82-B82</f>
        <v>2</v>
      </c>
      <c r="G82" s="57">
        <f aca="true" t="shared" si="27" ref="G82:G88">AVERAGE(C82,E82)</f>
        <v>20.25</v>
      </c>
      <c r="H82" s="57">
        <f aca="true" t="shared" si="28" ref="H82:H88">G82-B82</f>
        <v>1.25</v>
      </c>
      <c r="I82" s="58">
        <f aca="true" t="shared" si="29" ref="I82:I88">H82/120</f>
        <v>0.010416666666666666</v>
      </c>
    </row>
    <row r="83" spans="1:9" ht="11.25">
      <c r="A83" s="264" t="s">
        <v>45</v>
      </c>
      <c r="B83" s="55">
        <v>17</v>
      </c>
      <c r="C83" s="60">
        <v>11</v>
      </c>
      <c r="D83" s="55">
        <f t="shared" si="25"/>
        <v>-6</v>
      </c>
      <c r="E83" s="60">
        <v>10.5</v>
      </c>
      <c r="F83" s="61">
        <f t="shared" si="26"/>
        <v>-6.5</v>
      </c>
      <c r="G83" s="57">
        <f t="shared" si="27"/>
        <v>10.75</v>
      </c>
      <c r="H83" s="59">
        <f t="shared" si="28"/>
        <v>-6.25</v>
      </c>
      <c r="I83" s="58">
        <f t="shared" si="29"/>
        <v>-0.052083333333333336</v>
      </c>
    </row>
    <row r="84" spans="1:9" ht="11.25">
      <c r="A84" s="264" t="s">
        <v>35</v>
      </c>
      <c r="B84" s="55">
        <v>6</v>
      </c>
      <c r="C84" s="60">
        <v>8.5</v>
      </c>
      <c r="D84" s="55">
        <f t="shared" si="25"/>
        <v>2.5</v>
      </c>
      <c r="E84" s="60">
        <v>8</v>
      </c>
      <c r="F84" s="61">
        <f t="shared" si="26"/>
        <v>2</v>
      </c>
      <c r="G84" s="57">
        <f t="shared" si="27"/>
        <v>8.25</v>
      </c>
      <c r="H84" s="57">
        <f t="shared" si="28"/>
        <v>2.25</v>
      </c>
      <c r="I84" s="58">
        <f t="shared" si="29"/>
        <v>0.01875</v>
      </c>
    </row>
    <row r="85" spans="1:9" ht="11.25">
      <c r="A85" s="264" t="s">
        <v>20</v>
      </c>
      <c r="B85" s="55">
        <v>5</v>
      </c>
      <c r="C85" s="60">
        <v>5.5</v>
      </c>
      <c r="D85" s="55">
        <f t="shared" si="25"/>
        <v>0.5</v>
      </c>
      <c r="E85" s="60">
        <v>6</v>
      </c>
      <c r="F85" s="61">
        <f t="shared" si="26"/>
        <v>1</v>
      </c>
      <c r="G85" s="57">
        <f t="shared" si="27"/>
        <v>5.75</v>
      </c>
      <c r="H85" s="57">
        <f t="shared" si="28"/>
        <v>0.75</v>
      </c>
      <c r="I85" s="58">
        <f t="shared" si="29"/>
        <v>0.00625</v>
      </c>
    </row>
    <row r="86" spans="1:9" ht="11.25">
      <c r="A86" s="264" t="s">
        <v>9</v>
      </c>
      <c r="B86" s="55">
        <v>5</v>
      </c>
      <c r="C86" s="60">
        <v>4</v>
      </c>
      <c r="D86" s="55">
        <f t="shared" si="25"/>
        <v>-1</v>
      </c>
      <c r="E86" s="60">
        <v>3.5</v>
      </c>
      <c r="F86" s="61">
        <f t="shared" si="26"/>
        <v>-1.5</v>
      </c>
      <c r="G86" s="57">
        <f t="shared" si="27"/>
        <v>3.75</v>
      </c>
      <c r="H86" s="57">
        <f t="shared" si="28"/>
        <v>-1.25</v>
      </c>
      <c r="I86" s="58">
        <f t="shared" si="29"/>
        <v>-0.010416666666666666</v>
      </c>
    </row>
    <row r="87" spans="1:9" ht="11.25">
      <c r="A87" s="264" t="s">
        <v>19</v>
      </c>
      <c r="B87" s="55">
        <v>4</v>
      </c>
      <c r="C87" s="60">
        <v>4</v>
      </c>
      <c r="D87" s="55">
        <f t="shared" si="25"/>
        <v>0</v>
      </c>
      <c r="E87" s="60">
        <v>4</v>
      </c>
      <c r="F87" s="61">
        <f t="shared" si="26"/>
        <v>0</v>
      </c>
      <c r="G87" s="57">
        <f t="shared" si="27"/>
        <v>4</v>
      </c>
      <c r="H87" s="57">
        <f t="shared" si="28"/>
        <v>0</v>
      </c>
      <c r="I87" s="58">
        <f t="shared" si="29"/>
        <v>0</v>
      </c>
    </row>
    <row r="88" spans="1:9" ht="11.25">
      <c r="A88" s="264" t="s">
        <v>36</v>
      </c>
      <c r="B88" s="55">
        <v>4</v>
      </c>
      <c r="C88" s="60">
        <v>2.5</v>
      </c>
      <c r="D88" s="55">
        <f t="shared" si="25"/>
        <v>-1.5</v>
      </c>
      <c r="E88" s="60">
        <v>2</v>
      </c>
      <c r="F88" s="61">
        <f t="shared" si="26"/>
        <v>-2</v>
      </c>
      <c r="G88" s="57">
        <f t="shared" si="27"/>
        <v>2.25</v>
      </c>
      <c r="H88" s="57">
        <f t="shared" si="28"/>
        <v>-1.75</v>
      </c>
      <c r="I88" s="58">
        <f t="shared" si="29"/>
        <v>-0.014583333333333334</v>
      </c>
    </row>
    <row r="89" spans="1:9" ht="11.25">
      <c r="A89" s="264"/>
      <c r="B89" s="55"/>
      <c r="C89" s="60"/>
      <c r="D89" s="55"/>
      <c r="E89" s="60" t="s">
        <v>44</v>
      </c>
      <c r="F89" s="61"/>
      <c r="G89" s="55"/>
      <c r="H89" s="55"/>
      <c r="I89" s="61"/>
    </row>
    <row r="90" spans="1:9" ht="11.25">
      <c r="A90" s="264" t="s">
        <v>41</v>
      </c>
      <c r="B90" s="55">
        <v>0</v>
      </c>
      <c r="C90" s="60">
        <v>1</v>
      </c>
      <c r="D90" s="55">
        <f>C90-B90</f>
        <v>1</v>
      </c>
      <c r="E90" s="60">
        <v>0</v>
      </c>
      <c r="F90" s="61">
        <f>E90-B90</f>
        <v>0</v>
      </c>
      <c r="G90" s="57">
        <f>AVERAGE(C90,E90)</f>
        <v>0.5</v>
      </c>
      <c r="H90" s="57">
        <f>G90-B90</f>
        <v>0.5</v>
      </c>
      <c r="I90" s="58">
        <f>H90/120</f>
        <v>0.004166666666666667</v>
      </c>
    </row>
    <row r="91" spans="1:9" ht="11.25">
      <c r="A91" s="258" t="s">
        <v>42</v>
      </c>
      <c r="B91" s="55">
        <v>0</v>
      </c>
      <c r="C91" s="60">
        <v>4</v>
      </c>
      <c r="D91" s="55">
        <f>C91-B91</f>
        <v>4</v>
      </c>
      <c r="E91" s="60">
        <v>2</v>
      </c>
      <c r="F91" s="61">
        <f>E91-B91</f>
        <v>2</v>
      </c>
      <c r="G91" s="57">
        <f>AVERAGE(C91,E91)</f>
        <v>3</v>
      </c>
      <c r="H91" s="57">
        <f>G91-B91</f>
        <v>3</v>
      </c>
      <c r="I91" s="58">
        <f>H91/120</f>
        <v>0.025</v>
      </c>
    </row>
    <row r="92" spans="1:9" ht="11.25">
      <c r="A92" s="258" t="s">
        <v>39</v>
      </c>
      <c r="B92" s="55">
        <v>0</v>
      </c>
      <c r="C92" s="60">
        <v>2.5</v>
      </c>
      <c r="D92" s="55">
        <f>C92-B92</f>
        <v>2.5</v>
      </c>
      <c r="E92" s="60">
        <v>0</v>
      </c>
      <c r="F92" s="61">
        <f>E92-B92</f>
        <v>0</v>
      </c>
      <c r="G92" s="57">
        <f>AVERAGE(C92,E92)</f>
        <v>1.25</v>
      </c>
      <c r="H92" s="57">
        <f>G92-B92</f>
        <v>1.25</v>
      </c>
      <c r="I92" s="58">
        <f>H92/120</f>
        <v>0.010416666666666666</v>
      </c>
    </row>
    <row r="93" spans="1:9" ht="11.25">
      <c r="A93" s="260" t="s">
        <v>40</v>
      </c>
      <c r="B93" s="83">
        <v>0</v>
      </c>
      <c r="C93" s="93">
        <v>1</v>
      </c>
      <c r="D93" s="83">
        <f>C93-B93</f>
        <v>1</v>
      </c>
      <c r="E93" s="93">
        <v>2</v>
      </c>
      <c r="F93" s="85">
        <f>E93-B93</f>
        <v>2</v>
      </c>
      <c r="G93" s="63">
        <f>AVERAGE(C93,E93)</f>
        <v>1.5</v>
      </c>
      <c r="H93" s="63">
        <f>G93-B93</f>
        <v>1.5</v>
      </c>
      <c r="I93" s="64">
        <f>H93/120</f>
        <v>0.0125</v>
      </c>
    </row>
    <row r="94" ht="11.25">
      <c r="N94" s="55"/>
    </row>
    <row r="95" spans="1:9" ht="11.25">
      <c r="A95" s="99" t="s">
        <v>26</v>
      </c>
      <c r="B95" s="94"/>
      <c r="C95" s="95"/>
      <c r="D95" s="95">
        <f>SUM(ABS(D82),ABS(D83),ABS(D84),ABS(D85),ABS(D86),ABS(D87),ABS(D88),ABS(D89),ABS(D90),ABS(D91),ABS(D92),ABS(D93))</f>
        <v>20.5</v>
      </c>
      <c r="E95" s="99"/>
      <c r="F95" s="97">
        <f>SUM(ABS(F82),ABS(F83),ABS(F84),ABS(F85),ABS(F86),ABS(F87),ABS(F88),ABS(F89),ABS(F90),ABS(F91),ABS(F92),ABS(F93))</f>
        <v>19</v>
      </c>
      <c r="G95" s="95"/>
      <c r="H95" s="95">
        <f>SUM(ABS(H82),ABS(H83),ABS(H84),ABS(H85),ABS(H86),ABS(H87),ABS(H88),ABS(H89),ABS(H90),ABS(H91),ABS(H92),ABS(H93))</f>
        <v>19.75</v>
      </c>
      <c r="I95" s="97"/>
    </row>
    <row r="96" spans="1:14" ht="11.25">
      <c r="A96" s="93" t="s">
        <v>27</v>
      </c>
      <c r="B96" s="101"/>
      <c r="C96" s="83"/>
      <c r="D96" s="98">
        <f>D95/120</f>
        <v>0.17083333333333334</v>
      </c>
      <c r="E96" s="93"/>
      <c r="F96" s="103">
        <f>F95/120</f>
        <v>0.15833333333333333</v>
      </c>
      <c r="G96" s="83"/>
      <c r="H96" s="98">
        <f>H95/120</f>
        <v>0.16458333333333333</v>
      </c>
      <c r="I96" s="85"/>
      <c r="J96" s="77"/>
      <c r="L96" s="77"/>
      <c r="N96" s="77"/>
    </row>
    <row r="98" spans="1:9" ht="11.25">
      <c r="A98" s="99"/>
      <c r="B98" s="286" t="s">
        <v>48</v>
      </c>
      <c r="C98" s="287"/>
      <c r="D98" s="287"/>
      <c r="E98" s="287"/>
      <c r="F98" s="288"/>
      <c r="G98" s="297" t="s">
        <v>46</v>
      </c>
      <c r="H98" s="297"/>
      <c r="I98" s="292"/>
    </row>
    <row r="99" spans="1:9" ht="11.25">
      <c r="A99" s="99" t="s">
        <v>13</v>
      </c>
      <c r="B99" s="99">
        <v>60</v>
      </c>
      <c r="C99" s="99">
        <v>66</v>
      </c>
      <c r="D99" s="97">
        <f>B99-C99</f>
        <v>-6</v>
      </c>
      <c r="E99" s="95">
        <v>64.5</v>
      </c>
      <c r="F99" s="97">
        <f>B99-E99</f>
        <v>-4.5</v>
      </c>
      <c r="G99" s="95"/>
      <c r="H99" s="95">
        <f>AVERAGE(C99,E99)</f>
        <v>65.25</v>
      </c>
      <c r="I99" s="97"/>
    </row>
    <row r="100" spans="1:9" ht="11.25">
      <c r="A100" s="60" t="s">
        <v>14</v>
      </c>
      <c r="B100" s="60">
        <v>60</v>
      </c>
      <c r="C100" s="60">
        <v>56</v>
      </c>
      <c r="D100" s="61">
        <f>B100-C100</f>
        <v>4</v>
      </c>
      <c r="E100" s="55">
        <v>55</v>
      </c>
      <c r="F100" s="61">
        <f>B100-E100</f>
        <v>5</v>
      </c>
      <c r="G100" s="55"/>
      <c r="H100" s="55">
        <f>AVERAGE(C100,E100)</f>
        <v>55.5</v>
      </c>
      <c r="I100" s="61"/>
    </row>
    <row r="101" spans="1:9" ht="11.25">
      <c r="A101" s="60" t="s">
        <v>15</v>
      </c>
      <c r="B101" s="60">
        <f>ABS(B99-B100)</f>
        <v>0</v>
      </c>
      <c r="C101" s="60">
        <f>ABS(C99-C100)</f>
        <v>10</v>
      </c>
      <c r="D101" s="61">
        <f>ABS(B101-C101)</f>
        <v>10</v>
      </c>
      <c r="E101" s="55">
        <f>ABS(E99-E100)</f>
        <v>9.5</v>
      </c>
      <c r="F101" s="61">
        <f>ABS(B101-E101)</f>
        <v>9.5</v>
      </c>
      <c r="G101" s="55"/>
      <c r="H101" s="55">
        <f>AVERAGE(D101,F101)</f>
        <v>9.75</v>
      </c>
      <c r="I101" s="61"/>
    </row>
    <row r="102" spans="1:14" ht="13.5" customHeight="1">
      <c r="A102" s="60" t="s">
        <v>11</v>
      </c>
      <c r="B102" s="60"/>
      <c r="C102" s="60"/>
      <c r="D102" s="113">
        <f>D101/120</f>
        <v>0.08333333333333333</v>
      </c>
      <c r="E102" s="55"/>
      <c r="F102" s="113">
        <f>F101/120</f>
        <v>0.07916666666666666</v>
      </c>
      <c r="G102" s="55"/>
      <c r="H102" s="66">
        <f>AVERAGE(D102,F102)</f>
        <v>0.08124999999999999</v>
      </c>
      <c r="I102" s="61"/>
      <c r="J102" s="77"/>
      <c r="L102" s="77"/>
      <c r="N102" s="77"/>
    </row>
    <row r="103" spans="1:9" ht="11.25">
      <c r="A103" s="93" t="s">
        <v>49</v>
      </c>
      <c r="B103" s="93"/>
      <c r="C103" s="93"/>
      <c r="D103" s="92" t="s">
        <v>51</v>
      </c>
      <c r="E103" s="83"/>
      <c r="F103" s="92" t="s">
        <v>51</v>
      </c>
      <c r="G103" s="83"/>
      <c r="H103" s="84" t="s">
        <v>51</v>
      </c>
      <c r="I103" s="85"/>
    </row>
    <row r="105" spans="1:9" ht="11.25">
      <c r="A105" s="99" t="s">
        <v>55</v>
      </c>
      <c r="B105" s="116" t="s">
        <v>59</v>
      </c>
      <c r="C105" s="117"/>
      <c r="D105" s="117"/>
      <c r="E105" s="117"/>
      <c r="F105" s="117"/>
      <c r="G105" s="117"/>
      <c r="H105" s="117"/>
      <c r="I105" s="127"/>
    </row>
    <row r="106" spans="1:9" ht="11.25">
      <c r="A106" s="93"/>
      <c r="B106" s="128" t="s">
        <v>58</v>
      </c>
      <c r="C106" s="129"/>
      <c r="D106" s="129"/>
      <c r="E106" s="129"/>
      <c r="F106" s="129"/>
      <c r="G106" s="129"/>
      <c r="H106" s="129"/>
      <c r="I106" s="130"/>
    </row>
    <row r="110" spans="1:9" ht="11.25">
      <c r="A110" s="131" t="s">
        <v>237</v>
      </c>
      <c r="B110" s="273" t="s">
        <v>239</v>
      </c>
      <c r="C110" s="284"/>
      <c r="D110" s="284"/>
      <c r="E110" s="284"/>
      <c r="F110" s="284"/>
      <c r="G110" s="284"/>
      <c r="H110" s="284"/>
      <c r="I110" s="285"/>
    </row>
    <row r="111" spans="1:9" ht="11.25">
      <c r="A111" s="60"/>
      <c r="B111" s="60"/>
      <c r="C111" s="291" t="s">
        <v>243</v>
      </c>
      <c r="D111" s="297"/>
      <c r="E111" s="297" t="s">
        <v>242</v>
      </c>
      <c r="F111" s="292"/>
      <c r="G111" s="297" t="s">
        <v>46</v>
      </c>
      <c r="H111" s="297"/>
      <c r="I111" s="292"/>
    </row>
    <row r="112" spans="1:9" ht="11.25">
      <c r="A112" s="93"/>
      <c r="B112" s="91" t="s">
        <v>348</v>
      </c>
      <c r="C112" s="115" t="s">
        <v>53</v>
      </c>
      <c r="D112" s="121" t="s">
        <v>12</v>
      </c>
      <c r="E112" s="115" t="s">
        <v>53</v>
      </c>
      <c r="F112" s="121" t="s">
        <v>12</v>
      </c>
      <c r="G112" s="115" t="s">
        <v>53</v>
      </c>
      <c r="H112" s="122" t="s">
        <v>12</v>
      </c>
      <c r="I112" s="121" t="s">
        <v>47</v>
      </c>
    </row>
    <row r="113" spans="1:9" ht="11.25">
      <c r="A113" s="261" t="s">
        <v>1</v>
      </c>
      <c r="B113" s="60">
        <v>34</v>
      </c>
      <c r="C113" s="60">
        <v>44</v>
      </c>
      <c r="D113" s="61">
        <f>C113-B113</f>
        <v>10</v>
      </c>
      <c r="E113" s="60">
        <v>42.5</v>
      </c>
      <c r="F113" s="61">
        <f>E113-B113</f>
        <v>8.5</v>
      </c>
      <c r="G113" s="56">
        <f aca="true" t="shared" si="30" ref="G113:G119">AVERAGE(C113,E113)</f>
        <v>43.25</v>
      </c>
      <c r="H113" s="59">
        <f aca="true" t="shared" si="31" ref="H113:H119">G113-B113</f>
        <v>9.25</v>
      </c>
      <c r="I113" s="58">
        <f aca="true" t="shared" si="32" ref="I113:I119">H113/120</f>
        <v>0.07708333333333334</v>
      </c>
    </row>
    <row r="114" spans="1:9" ht="11.25">
      <c r="A114" s="261" t="s">
        <v>22</v>
      </c>
      <c r="B114" s="60">
        <v>9</v>
      </c>
      <c r="C114" s="60">
        <v>7</v>
      </c>
      <c r="D114" s="61">
        <f>C114-B114</f>
        <v>-2</v>
      </c>
      <c r="E114" s="60">
        <v>6.5</v>
      </c>
      <c r="F114" s="61">
        <f>E114-B114</f>
        <v>-2.5</v>
      </c>
      <c r="G114" s="56">
        <f t="shared" si="30"/>
        <v>6.75</v>
      </c>
      <c r="H114" s="57">
        <f t="shared" si="31"/>
        <v>-2.25</v>
      </c>
      <c r="I114" s="58">
        <f t="shared" si="32"/>
        <v>-0.01875</v>
      </c>
    </row>
    <row r="115" spans="1:9" ht="11.25">
      <c r="A115" s="261" t="s">
        <v>25</v>
      </c>
      <c r="B115" s="60">
        <v>9</v>
      </c>
      <c r="C115" s="60">
        <v>6</v>
      </c>
      <c r="D115" s="61">
        <f>C115-B115</f>
        <v>-3</v>
      </c>
      <c r="E115" s="60">
        <v>7</v>
      </c>
      <c r="F115" s="61">
        <f>E115-B115</f>
        <v>-2</v>
      </c>
      <c r="G115" s="56">
        <f t="shared" si="30"/>
        <v>6.5</v>
      </c>
      <c r="H115" s="57">
        <f t="shared" si="31"/>
        <v>-2.5</v>
      </c>
      <c r="I115" s="58">
        <f t="shared" si="32"/>
        <v>-0.020833333333333332</v>
      </c>
    </row>
    <row r="116" spans="1:9" ht="11.25">
      <c r="A116" s="60"/>
      <c r="B116" s="60"/>
      <c r="C116" s="60"/>
      <c r="D116" s="61"/>
      <c r="E116" s="60"/>
      <c r="F116" s="61"/>
      <c r="G116" s="56"/>
      <c r="H116" s="57"/>
      <c r="I116" s="58"/>
    </row>
    <row r="117" spans="1:9" ht="11.25">
      <c r="A117" s="262" t="s">
        <v>5</v>
      </c>
      <c r="B117" s="60">
        <v>32</v>
      </c>
      <c r="C117" s="60">
        <v>38</v>
      </c>
      <c r="D117" s="61">
        <f aca="true" t="shared" si="33" ref="D117:D123">C117-B117</f>
        <v>6</v>
      </c>
      <c r="E117" s="60">
        <v>42</v>
      </c>
      <c r="F117" s="61">
        <f aca="true" t="shared" si="34" ref="F117:F123">E117-B117</f>
        <v>10</v>
      </c>
      <c r="G117" s="56">
        <f t="shared" si="30"/>
        <v>40</v>
      </c>
      <c r="H117" s="59">
        <f t="shared" si="31"/>
        <v>8</v>
      </c>
      <c r="I117" s="58">
        <f t="shared" si="32"/>
        <v>0.06666666666666667</v>
      </c>
    </row>
    <row r="118" spans="1:9" ht="11.25">
      <c r="A118" s="262" t="s">
        <v>6</v>
      </c>
      <c r="B118" s="60">
        <v>10</v>
      </c>
      <c r="C118" s="60">
        <v>4</v>
      </c>
      <c r="D118" s="61">
        <f t="shared" si="33"/>
        <v>-6</v>
      </c>
      <c r="E118" s="60">
        <v>4.5</v>
      </c>
      <c r="F118" s="61">
        <f t="shared" si="34"/>
        <v>-5.5</v>
      </c>
      <c r="G118" s="56">
        <f t="shared" si="30"/>
        <v>4.25</v>
      </c>
      <c r="H118" s="59">
        <f t="shared" si="31"/>
        <v>-5.75</v>
      </c>
      <c r="I118" s="58">
        <f t="shared" si="32"/>
        <v>-0.04791666666666667</v>
      </c>
    </row>
    <row r="119" spans="1:9" ht="11.25">
      <c r="A119" s="262" t="s">
        <v>20</v>
      </c>
      <c r="B119" s="60">
        <v>9</v>
      </c>
      <c r="C119" s="60">
        <v>5</v>
      </c>
      <c r="D119" s="61">
        <f t="shared" si="33"/>
        <v>-4</v>
      </c>
      <c r="E119" s="60">
        <v>6</v>
      </c>
      <c r="F119" s="61">
        <f t="shared" si="34"/>
        <v>-3</v>
      </c>
      <c r="G119" s="56">
        <f t="shared" si="30"/>
        <v>5.5</v>
      </c>
      <c r="H119" s="57">
        <f t="shared" si="31"/>
        <v>-3.5</v>
      </c>
      <c r="I119" s="58">
        <f t="shared" si="32"/>
        <v>-0.029166666666666667</v>
      </c>
    </row>
    <row r="120" spans="1:9" ht="11.25">
      <c r="A120" s="262" t="s">
        <v>240</v>
      </c>
      <c r="B120" s="60">
        <v>7</v>
      </c>
      <c r="C120" s="60">
        <v>3</v>
      </c>
      <c r="D120" s="61">
        <f t="shared" si="33"/>
        <v>-4</v>
      </c>
      <c r="E120" s="60">
        <v>3</v>
      </c>
      <c r="F120" s="61">
        <f t="shared" si="34"/>
        <v>-4</v>
      </c>
      <c r="G120" s="56">
        <f>AVERAGE(C120,E120)</f>
        <v>3</v>
      </c>
      <c r="H120" s="59">
        <f>G120-B120</f>
        <v>-4</v>
      </c>
      <c r="I120" s="58">
        <f>H120/120</f>
        <v>-0.03333333333333333</v>
      </c>
    </row>
    <row r="121" spans="1:9" ht="11.25">
      <c r="A121" s="262" t="s">
        <v>9</v>
      </c>
      <c r="B121" s="60">
        <v>4</v>
      </c>
      <c r="C121" s="60">
        <v>4</v>
      </c>
      <c r="D121" s="61">
        <f t="shared" si="33"/>
        <v>0</v>
      </c>
      <c r="E121" s="60">
        <v>4</v>
      </c>
      <c r="F121" s="61">
        <f t="shared" si="34"/>
        <v>0</v>
      </c>
      <c r="G121" s="56">
        <f>AVERAGE(C121,E121)</f>
        <v>4</v>
      </c>
      <c r="H121" s="57">
        <f>G121-B121</f>
        <v>0</v>
      </c>
      <c r="I121" s="58">
        <f>H121/120</f>
        <v>0</v>
      </c>
    </row>
    <row r="122" spans="1:9" ht="11.25">
      <c r="A122" s="262" t="s">
        <v>41</v>
      </c>
      <c r="B122" s="60">
        <v>4</v>
      </c>
      <c r="C122" s="60">
        <v>2</v>
      </c>
      <c r="D122" s="61">
        <f t="shared" si="33"/>
        <v>-2</v>
      </c>
      <c r="E122" s="60">
        <v>1.5</v>
      </c>
      <c r="F122" s="61">
        <f t="shared" si="34"/>
        <v>-2.5</v>
      </c>
      <c r="G122" s="56">
        <f>AVERAGE(C122,E122)</f>
        <v>1.75</v>
      </c>
      <c r="H122" s="57">
        <f>G122-B122</f>
        <v>-2.25</v>
      </c>
      <c r="I122" s="58">
        <f>H122/120</f>
        <v>-0.01875</v>
      </c>
    </row>
    <row r="123" spans="1:9" ht="11.25">
      <c r="A123" s="263" t="s">
        <v>241</v>
      </c>
      <c r="B123" s="93">
        <v>2</v>
      </c>
      <c r="C123" s="93">
        <v>3</v>
      </c>
      <c r="D123" s="85">
        <f t="shared" si="33"/>
        <v>1</v>
      </c>
      <c r="E123" s="93">
        <v>3</v>
      </c>
      <c r="F123" s="85">
        <f t="shared" si="34"/>
        <v>1</v>
      </c>
      <c r="G123" s="62">
        <f>AVERAGE(C123,E123)</f>
        <v>3</v>
      </c>
      <c r="H123" s="63">
        <f>G123-B123</f>
        <v>1</v>
      </c>
      <c r="I123" s="64">
        <f>H123/120</f>
        <v>0.008333333333333333</v>
      </c>
    </row>
    <row r="124" spans="1:2" ht="11.25">
      <c r="A124" s="78"/>
      <c r="B124" s="55"/>
    </row>
    <row r="125" spans="1:9" ht="11.25">
      <c r="A125" s="94"/>
      <c r="B125" s="301" t="s">
        <v>48</v>
      </c>
      <c r="C125" s="302"/>
      <c r="D125" s="302"/>
      <c r="E125" s="302"/>
      <c r="F125" s="303"/>
      <c r="G125" s="297" t="s">
        <v>46</v>
      </c>
      <c r="H125" s="297"/>
      <c r="I125" s="292"/>
    </row>
    <row r="126" spans="1:9" ht="11.25">
      <c r="A126" s="94" t="s">
        <v>13</v>
      </c>
      <c r="B126" s="95">
        <v>52</v>
      </c>
      <c r="C126" s="132">
        <v>57</v>
      </c>
      <c r="D126" s="97">
        <f>B126-C126</f>
        <v>-5</v>
      </c>
      <c r="E126" s="132">
        <v>56</v>
      </c>
      <c r="F126" s="97">
        <f>B126-E126</f>
        <v>-4</v>
      </c>
      <c r="G126" s="95"/>
      <c r="H126" s="95">
        <f>AVERAGE(C126,E126)</f>
        <v>56.5</v>
      </c>
      <c r="I126" s="97"/>
    </row>
    <row r="127" spans="1:9" ht="11.25">
      <c r="A127" s="86" t="s">
        <v>14</v>
      </c>
      <c r="B127" s="55">
        <v>68</v>
      </c>
      <c r="C127" s="133">
        <v>59</v>
      </c>
      <c r="D127" s="61">
        <f>B127-C127</f>
        <v>9</v>
      </c>
      <c r="E127" s="133">
        <v>64</v>
      </c>
      <c r="F127" s="61">
        <f>B127-E127</f>
        <v>4</v>
      </c>
      <c r="G127" s="55"/>
      <c r="H127" s="55">
        <f>AVERAGE(C127,E127)</f>
        <v>61.5</v>
      </c>
      <c r="I127" s="61"/>
    </row>
    <row r="128" spans="1:9" ht="11.25">
      <c r="A128" s="86" t="s">
        <v>15</v>
      </c>
      <c r="B128" s="55">
        <f>ABS(B126-B127)</f>
        <v>16</v>
      </c>
      <c r="C128" s="60">
        <f>ABS(C126-C127)</f>
        <v>2</v>
      </c>
      <c r="D128" s="61">
        <f>ABS(B128-C128)</f>
        <v>14</v>
      </c>
      <c r="E128" s="60">
        <f>ABS(E126-E127)</f>
        <v>8</v>
      </c>
      <c r="F128" s="61">
        <f>ABS(B128-E128)</f>
        <v>8</v>
      </c>
      <c r="G128" s="55"/>
      <c r="H128" s="55">
        <f>AVERAGE(D128,F128)</f>
        <v>11</v>
      </c>
      <c r="I128" s="61"/>
    </row>
    <row r="129" spans="1:9" ht="11.25">
      <c r="A129" s="86" t="s">
        <v>11</v>
      </c>
      <c r="B129" s="55"/>
      <c r="C129" s="60"/>
      <c r="D129" s="113">
        <f>D128/120</f>
        <v>0.11666666666666667</v>
      </c>
      <c r="E129" s="60"/>
      <c r="F129" s="113">
        <f>F128/120</f>
        <v>0.06666666666666667</v>
      </c>
      <c r="G129" s="55"/>
      <c r="H129" s="66">
        <f>AVERAGE(D129,F129)</f>
        <v>0.09166666666666667</v>
      </c>
      <c r="I129" s="61"/>
    </row>
    <row r="130" spans="1:9" ht="11.25">
      <c r="A130" s="101" t="s">
        <v>49</v>
      </c>
      <c r="B130" s="83"/>
      <c r="C130" s="93"/>
      <c r="D130" s="92" t="s">
        <v>51</v>
      </c>
      <c r="E130" s="93"/>
      <c r="F130" s="92" t="s">
        <v>51</v>
      </c>
      <c r="G130" s="83"/>
      <c r="H130" s="84" t="s">
        <v>51</v>
      </c>
      <c r="I130" s="85"/>
    </row>
    <row r="131" spans="1:6" ht="11.25">
      <c r="A131" s="60"/>
      <c r="B131" s="55"/>
      <c r="C131" s="55"/>
      <c r="D131" s="55"/>
      <c r="E131" s="55"/>
      <c r="F131" s="55"/>
    </row>
    <row r="132" spans="1:9" ht="11.25">
      <c r="A132" s="99" t="s">
        <v>55</v>
      </c>
      <c r="B132" s="116" t="s">
        <v>165</v>
      </c>
      <c r="C132" s="117"/>
      <c r="D132" s="117"/>
      <c r="E132" s="117"/>
      <c r="F132" s="117"/>
      <c r="G132" s="117"/>
      <c r="H132" s="117"/>
      <c r="I132" s="127"/>
    </row>
    <row r="133" spans="1:9" ht="11.25">
      <c r="A133" s="60"/>
      <c r="B133" s="79" t="s">
        <v>164</v>
      </c>
      <c r="C133" s="55"/>
      <c r="D133" s="55"/>
      <c r="E133" s="55"/>
      <c r="F133" s="55"/>
      <c r="G133" s="55"/>
      <c r="H133" s="55"/>
      <c r="I133" s="61"/>
    </row>
    <row r="134" spans="1:9" ht="11.25">
      <c r="A134" s="93"/>
      <c r="B134" s="118" t="s">
        <v>166</v>
      </c>
      <c r="C134" s="83"/>
      <c r="D134" s="83"/>
      <c r="E134" s="83"/>
      <c r="F134" s="83"/>
      <c r="G134" s="83"/>
      <c r="H134" s="83"/>
      <c r="I134" s="85"/>
    </row>
    <row r="138" spans="1:11" ht="11.25">
      <c r="A138" s="134" t="s">
        <v>69</v>
      </c>
      <c r="B138" s="284" t="s">
        <v>248</v>
      </c>
      <c r="C138" s="284"/>
      <c r="D138" s="284"/>
      <c r="E138" s="284"/>
      <c r="F138" s="284"/>
      <c r="G138" s="284"/>
      <c r="H138" s="285"/>
      <c r="I138" s="80"/>
      <c r="J138" s="80"/>
      <c r="K138" s="80"/>
    </row>
    <row r="139" spans="1:9" ht="11.25">
      <c r="A139" s="94"/>
      <c r="B139" s="97"/>
      <c r="C139" s="291" t="s">
        <v>207</v>
      </c>
      <c r="D139" s="292"/>
      <c r="E139" s="291" t="s">
        <v>331</v>
      </c>
      <c r="F139" s="292"/>
      <c r="G139" s="291" t="s">
        <v>43</v>
      </c>
      <c r="H139" s="292"/>
      <c r="I139" s="80"/>
    </row>
    <row r="140" spans="1:9" ht="11.25">
      <c r="A140" s="101"/>
      <c r="B140" s="92" t="s">
        <v>348</v>
      </c>
      <c r="C140" s="91" t="s">
        <v>53</v>
      </c>
      <c r="D140" s="85" t="s">
        <v>12</v>
      </c>
      <c r="E140" s="91" t="s">
        <v>53</v>
      </c>
      <c r="F140" s="85" t="s">
        <v>12</v>
      </c>
      <c r="G140" s="91" t="s">
        <v>53</v>
      </c>
      <c r="H140" s="85" t="s">
        <v>12</v>
      </c>
      <c r="I140" s="55"/>
    </row>
    <row r="141" spans="1:8" ht="11.25">
      <c r="A141" s="258" t="s">
        <v>1</v>
      </c>
      <c r="B141" s="61">
        <v>44</v>
      </c>
      <c r="C141" s="55"/>
      <c r="D141" s="55"/>
      <c r="E141" s="55"/>
      <c r="F141" s="55"/>
      <c r="G141" s="55"/>
      <c r="H141" s="61"/>
    </row>
    <row r="142" spans="1:8" ht="11.25">
      <c r="A142" s="258" t="s">
        <v>22</v>
      </c>
      <c r="B142" s="61">
        <v>12</v>
      </c>
      <c r="C142" s="55"/>
      <c r="D142" s="55"/>
      <c r="E142" s="55"/>
      <c r="F142" s="55"/>
      <c r="G142" s="55"/>
      <c r="H142" s="61"/>
    </row>
    <row r="143" spans="1:8" ht="11.25">
      <c r="A143" s="258" t="s">
        <v>25</v>
      </c>
      <c r="B143" s="61">
        <v>5</v>
      </c>
      <c r="C143" s="55"/>
      <c r="D143" s="55"/>
      <c r="E143" s="55"/>
      <c r="F143" s="55"/>
      <c r="G143" s="55"/>
      <c r="H143" s="61"/>
    </row>
    <row r="144" spans="1:8" ht="11.25">
      <c r="A144" s="86"/>
      <c r="B144" s="61"/>
      <c r="C144" s="55"/>
      <c r="D144" s="55"/>
      <c r="E144" s="55"/>
      <c r="F144" s="55"/>
      <c r="G144" s="55"/>
      <c r="H144" s="61"/>
    </row>
    <row r="145" spans="1:8" ht="11.25">
      <c r="A145" s="264" t="s">
        <v>5</v>
      </c>
      <c r="B145" s="61">
        <v>32</v>
      </c>
      <c r="C145" s="55"/>
      <c r="D145" s="55"/>
      <c r="E145" s="55"/>
      <c r="F145" s="55"/>
      <c r="G145" s="55"/>
      <c r="H145" s="61"/>
    </row>
    <row r="146" spans="1:8" ht="11.25">
      <c r="A146" s="264" t="s">
        <v>249</v>
      </c>
      <c r="B146" s="61">
        <v>8</v>
      </c>
      <c r="C146" s="55"/>
      <c r="D146" s="55"/>
      <c r="E146" s="55"/>
      <c r="F146" s="55"/>
      <c r="G146" s="55"/>
      <c r="H146" s="61"/>
    </row>
    <row r="147" spans="1:8" ht="11.25">
      <c r="A147" s="264" t="s">
        <v>6</v>
      </c>
      <c r="B147" s="61">
        <v>6</v>
      </c>
      <c r="C147" s="55"/>
      <c r="D147" s="55"/>
      <c r="E147" s="55"/>
      <c r="F147" s="55"/>
      <c r="G147" s="55"/>
      <c r="H147" s="61"/>
    </row>
    <row r="148" spans="1:8" ht="11.25">
      <c r="A148" s="264" t="s">
        <v>20</v>
      </c>
      <c r="B148" s="61">
        <v>6</v>
      </c>
      <c r="C148" s="55"/>
      <c r="D148" s="55"/>
      <c r="E148" s="55"/>
      <c r="F148" s="55"/>
      <c r="G148" s="55"/>
      <c r="H148" s="61"/>
    </row>
    <row r="149" spans="1:8" ht="11.25">
      <c r="A149" s="264" t="s">
        <v>9</v>
      </c>
      <c r="B149" s="61">
        <v>4</v>
      </c>
      <c r="C149" s="55"/>
      <c r="D149" s="55"/>
      <c r="E149" s="55"/>
      <c r="F149" s="55"/>
      <c r="G149" s="55"/>
      <c r="H149" s="61"/>
    </row>
    <row r="150" spans="1:8" ht="11.25">
      <c r="A150" s="265" t="s">
        <v>241</v>
      </c>
      <c r="B150" s="85">
        <v>3</v>
      </c>
      <c r="C150" s="83"/>
      <c r="D150" s="83"/>
      <c r="E150" s="83"/>
      <c r="F150" s="83"/>
      <c r="G150" s="83"/>
      <c r="H150" s="85"/>
    </row>
    <row r="152" spans="1:11" ht="11.25">
      <c r="A152" s="94"/>
      <c r="B152" s="301" t="s">
        <v>48</v>
      </c>
      <c r="C152" s="302"/>
      <c r="D152" s="302"/>
      <c r="E152" s="302"/>
      <c r="F152" s="302"/>
      <c r="G152" s="302"/>
      <c r="H152" s="303"/>
      <c r="I152" s="297" t="s">
        <v>46</v>
      </c>
      <c r="J152" s="297"/>
      <c r="K152" s="292"/>
    </row>
    <row r="153" spans="1:11" ht="11.25">
      <c r="A153" s="94" t="s">
        <v>13</v>
      </c>
      <c r="B153" s="95">
        <v>61</v>
      </c>
      <c r="C153" s="132">
        <v>61</v>
      </c>
      <c r="D153" s="97">
        <f>B153-C153</f>
        <v>0</v>
      </c>
      <c r="E153" s="132">
        <v>61</v>
      </c>
      <c r="F153" s="97">
        <f>B153-E153</f>
        <v>0</v>
      </c>
      <c r="G153" s="132">
        <v>59</v>
      </c>
      <c r="H153" s="97">
        <f>B153-G153</f>
        <v>2</v>
      </c>
      <c r="I153" s="95"/>
      <c r="J153" s="96">
        <f>AVERAGE(C153,E153,G153)</f>
        <v>60.333333333333336</v>
      </c>
      <c r="K153" s="97"/>
    </row>
    <row r="154" spans="1:11" ht="11.25">
      <c r="A154" s="86" t="s">
        <v>14</v>
      </c>
      <c r="B154" s="55">
        <v>59</v>
      </c>
      <c r="C154" s="133">
        <v>59</v>
      </c>
      <c r="D154" s="61">
        <f>B154-C154</f>
        <v>0</v>
      </c>
      <c r="E154" s="133">
        <v>59</v>
      </c>
      <c r="F154" s="61">
        <f>B154-E154</f>
        <v>0</v>
      </c>
      <c r="G154" s="133">
        <v>61</v>
      </c>
      <c r="H154" s="61">
        <f>B154-G154</f>
        <v>-2</v>
      </c>
      <c r="I154" s="55"/>
      <c r="J154" s="57">
        <f>AVERAGE(C154,E154,G154)</f>
        <v>59.666666666666664</v>
      </c>
      <c r="K154" s="61"/>
    </row>
    <row r="155" spans="1:11" ht="11.25">
      <c r="A155" s="86" t="s">
        <v>15</v>
      </c>
      <c r="B155" s="55">
        <f>(B153-B154)</f>
        <v>2</v>
      </c>
      <c r="C155" s="60">
        <f>(C153-C154)</f>
        <v>2</v>
      </c>
      <c r="D155" s="61">
        <f>ABS(B155-C155)</f>
        <v>0</v>
      </c>
      <c r="E155" s="60">
        <f>(E153-E154)</f>
        <v>2</v>
      </c>
      <c r="F155" s="61">
        <f>ABS(B155-E155)</f>
        <v>0</v>
      </c>
      <c r="G155" s="60">
        <f>(G153-G154)</f>
        <v>-2</v>
      </c>
      <c r="H155" s="61">
        <f>ABS(B155-G155)</f>
        <v>4</v>
      </c>
      <c r="I155" s="55"/>
      <c r="J155" s="57">
        <f>AVERAGE(D155,F155,H155)</f>
        <v>1.3333333333333333</v>
      </c>
      <c r="K155" s="61"/>
    </row>
    <row r="156" spans="1:11" ht="11.25">
      <c r="A156" s="86" t="s">
        <v>11</v>
      </c>
      <c r="B156" s="55"/>
      <c r="C156" s="60"/>
      <c r="D156" s="113">
        <f>D155/120</f>
        <v>0</v>
      </c>
      <c r="E156" s="60"/>
      <c r="F156" s="113">
        <f>F155/120</f>
        <v>0</v>
      </c>
      <c r="G156" s="60"/>
      <c r="H156" s="113">
        <f>H155/120</f>
        <v>0.03333333333333333</v>
      </c>
      <c r="I156" s="55"/>
      <c r="J156" s="66">
        <f>AVERAGE(D156,F156,H156)</f>
        <v>0.011111111111111112</v>
      </c>
      <c r="K156" s="61"/>
    </row>
    <row r="157" spans="1:11" ht="11.25">
      <c r="A157" s="101" t="s">
        <v>49</v>
      </c>
      <c r="B157" s="83"/>
      <c r="C157" s="93"/>
      <c r="D157" s="92"/>
      <c r="E157" s="93"/>
      <c r="F157" s="92"/>
      <c r="G157" s="93"/>
      <c r="H157" s="92" t="s">
        <v>50</v>
      </c>
      <c r="I157" s="83"/>
      <c r="J157" s="84" t="s">
        <v>50</v>
      </c>
      <c r="K157" s="85"/>
    </row>
    <row r="159" spans="1:11" ht="11.25">
      <c r="A159" s="135" t="s">
        <v>55</v>
      </c>
      <c r="B159" s="116" t="s">
        <v>206</v>
      </c>
      <c r="C159" s="117"/>
      <c r="D159" s="117"/>
      <c r="E159" s="117"/>
      <c r="F159" s="95"/>
      <c r="G159" s="95"/>
      <c r="H159" s="95"/>
      <c r="I159" s="95"/>
      <c r="J159" s="95"/>
      <c r="K159" s="97"/>
    </row>
    <row r="160" spans="1:11" ht="11.25">
      <c r="A160" s="136"/>
      <c r="B160" s="137" t="s">
        <v>213</v>
      </c>
      <c r="C160" s="129"/>
      <c r="D160" s="129"/>
      <c r="E160" s="129"/>
      <c r="F160" s="83"/>
      <c r="G160" s="83"/>
      <c r="H160" s="83"/>
      <c r="I160" s="83"/>
      <c r="J160" s="83"/>
      <c r="K160" s="85"/>
    </row>
    <row r="161" spans="1:7" ht="11.25">
      <c r="A161" s="81"/>
      <c r="B161" s="80"/>
      <c r="C161" s="80"/>
      <c r="D161" s="80"/>
      <c r="E161" s="80"/>
      <c r="F161" s="55"/>
      <c r="G161" s="55"/>
    </row>
    <row r="162" spans="1:7" ht="11.25">
      <c r="A162" s="81"/>
      <c r="B162" s="80"/>
      <c r="C162" s="80"/>
      <c r="D162" s="80"/>
      <c r="E162" s="80"/>
      <c r="F162" s="55"/>
      <c r="G162" s="55"/>
    </row>
    <row r="164" spans="1:8" ht="13.5" customHeight="1">
      <c r="A164" s="134" t="s">
        <v>74</v>
      </c>
      <c r="B164" s="271" t="s">
        <v>244</v>
      </c>
      <c r="C164" s="271"/>
      <c r="D164" s="271"/>
      <c r="E164" s="271"/>
      <c r="F164" s="272"/>
      <c r="G164" s="80"/>
      <c r="H164" s="80"/>
    </row>
    <row r="165" spans="1:6" ht="11.25">
      <c r="A165" s="94"/>
      <c r="B165" s="95"/>
      <c r="C165" s="286" t="s">
        <v>344</v>
      </c>
      <c r="D165" s="288"/>
      <c r="E165" s="297" t="s">
        <v>245</v>
      </c>
      <c r="F165" s="292"/>
    </row>
    <row r="166" spans="1:6" ht="11.25">
      <c r="A166" s="101"/>
      <c r="B166" s="84" t="s">
        <v>348</v>
      </c>
      <c r="C166" s="115" t="s">
        <v>53</v>
      </c>
      <c r="D166" s="121" t="s">
        <v>12</v>
      </c>
      <c r="E166" s="112" t="s">
        <v>53</v>
      </c>
      <c r="F166" s="121" t="s">
        <v>12</v>
      </c>
    </row>
    <row r="167" spans="1:6" ht="11.25">
      <c r="A167" s="258" t="s">
        <v>1</v>
      </c>
      <c r="B167" s="55" t="s">
        <v>246</v>
      </c>
      <c r="C167" s="138">
        <v>0.5</v>
      </c>
      <c r="D167" s="140">
        <v>0.151</v>
      </c>
      <c r="E167" s="95"/>
      <c r="F167" s="97"/>
    </row>
    <row r="168" spans="1:6" ht="11.25">
      <c r="A168" s="264" t="s">
        <v>5</v>
      </c>
      <c r="B168" s="55" t="s">
        <v>247</v>
      </c>
      <c r="C168" s="139">
        <v>0.41</v>
      </c>
      <c r="D168" s="103">
        <v>0.096</v>
      </c>
      <c r="E168" s="83"/>
      <c r="F168" s="85"/>
    </row>
    <row r="169" spans="1:6" ht="11.25">
      <c r="A169" s="141" t="s">
        <v>15</v>
      </c>
      <c r="B169" s="142">
        <v>0.035</v>
      </c>
      <c r="C169" s="139">
        <v>0.09</v>
      </c>
      <c r="D169" s="103">
        <v>0.055</v>
      </c>
      <c r="E169" s="100">
        <v>0.16</v>
      </c>
      <c r="F169" s="103">
        <v>0.125</v>
      </c>
    </row>
    <row r="170" spans="1:6" ht="11.25">
      <c r="A170" s="78" t="s">
        <v>292</v>
      </c>
      <c r="B170" s="66"/>
      <c r="C170" s="82"/>
      <c r="D170" s="65">
        <v>0.247</v>
      </c>
      <c r="E170" s="82"/>
      <c r="F170" s="66"/>
    </row>
    <row r="172" spans="1:11" ht="11.25">
      <c r="A172" s="99" t="s">
        <v>55</v>
      </c>
      <c r="B172" s="116" t="s">
        <v>291</v>
      </c>
      <c r="C172" s="95"/>
      <c r="D172" s="95"/>
      <c r="E172" s="95"/>
      <c r="F172" s="95"/>
      <c r="G172" s="95"/>
      <c r="H172" s="95"/>
      <c r="I172" s="95"/>
      <c r="J172" s="95"/>
      <c r="K172" s="97"/>
    </row>
    <row r="173" spans="1:11" ht="11.25">
      <c r="A173" s="93"/>
      <c r="B173" s="128" t="s">
        <v>290</v>
      </c>
      <c r="C173" s="83"/>
      <c r="D173" s="83"/>
      <c r="E173" s="83"/>
      <c r="F173" s="83"/>
      <c r="G173" s="83"/>
      <c r="H173" s="83"/>
      <c r="I173" s="83"/>
      <c r="J173" s="83"/>
      <c r="K173" s="85"/>
    </row>
  </sheetData>
  <sheetProtection/>
  <mergeCells count="55">
    <mergeCell ref="G39:H39"/>
    <mergeCell ref="I39:J39"/>
    <mergeCell ref="K39:L39"/>
    <mergeCell ref="C3:D3"/>
    <mergeCell ref="E3:F3"/>
    <mergeCell ref="G3:H3"/>
    <mergeCell ref="I3:J3"/>
    <mergeCell ref="K3:L3"/>
    <mergeCell ref="B164:F164"/>
    <mergeCell ref="G139:H139"/>
    <mergeCell ref="E73:F73"/>
    <mergeCell ref="G73:I73"/>
    <mergeCell ref="G98:I98"/>
    <mergeCell ref="B110:I110"/>
    <mergeCell ref="B152:H152"/>
    <mergeCell ref="G125:I125"/>
    <mergeCell ref="G111:I111"/>
    <mergeCell ref="I152:K152"/>
    <mergeCell ref="C1:S1"/>
    <mergeCell ref="C165:D165"/>
    <mergeCell ref="E165:F165"/>
    <mergeCell ref="C111:D111"/>
    <mergeCell ref="E111:F111"/>
    <mergeCell ref="B125:F125"/>
    <mergeCell ref="C139:D139"/>
    <mergeCell ref="E139:F139"/>
    <mergeCell ref="O59:Q59"/>
    <mergeCell ref="E2:F2"/>
    <mergeCell ref="B72:I72"/>
    <mergeCell ref="B59:N59"/>
    <mergeCell ref="B138:H138"/>
    <mergeCell ref="C38:D38"/>
    <mergeCell ref="B98:F98"/>
    <mergeCell ref="I38:J38"/>
    <mergeCell ref="G38:H38"/>
    <mergeCell ref="M38:N38"/>
    <mergeCell ref="B68:P68"/>
    <mergeCell ref="C73:D73"/>
    <mergeCell ref="Q23:S23"/>
    <mergeCell ref="K2:L2"/>
    <mergeCell ref="M2:N2"/>
    <mergeCell ref="Q2:S2"/>
    <mergeCell ref="M3:N3"/>
    <mergeCell ref="O3:P3"/>
    <mergeCell ref="O2:P2"/>
    <mergeCell ref="C2:D2"/>
    <mergeCell ref="G2:H2"/>
    <mergeCell ref="I2:J2"/>
    <mergeCell ref="B66:P66"/>
    <mergeCell ref="B37:M37"/>
    <mergeCell ref="E38:F38"/>
    <mergeCell ref="K38:L38"/>
    <mergeCell ref="O38:Q38"/>
    <mergeCell ref="C39:D39"/>
    <mergeCell ref="E39:F39"/>
  </mergeCells>
  <hyperlinks>
    <hyperlink ref="B132" r:id="rId1" display="http://www.knesset.gov.il/description/heb/heb_mimshal_res14.htm"/>
    <hyperlink ref="B134" r:id="rId2" display="http://www.jafi.org.il/education/actual/elections/elections1996/yhelec6.html"/>
    <hyperlink ref="B160"/>
    <hyperlink ref="B159" r:id="rId3" display="http://knesset.gov.il/description/heb/heb_mimshal_res13.htm"/>
    <hyperlink ref="B173" r:id="rId4" display="http://books.google.co.il/books?id=CCTsxgbGNIEC&amp;printsec=frontcover#PPA233,M1"/>
    <hyperlink ref="B172" r:id="rId5" display="http://knesset.gov.il/description/heb/heb_mimshal_res11.htm"/>
    <hyperlink ref="B106" r:id="rId6" display="http://imra.org.il/story.php3?id=2704"/>
    <hyperlink ref="B68" r:id="rId7" display="http://www.imra.org.il/story.php3?id=15615"/>
    <hyperlink ref="B66" r:id="rId8" display="http://www.knesset.gov.il/elections16/heb/results/regions.asp"/>
    <hyperlink ref="B133" r:id="rId9" display="http://www.jafi.org.il/education/actual/elections/elections1996/polls.html"/>
    <hyperlink ref="B67" r:id="rId10" display="http://www.politicsnow.co.il/ele2003sk.html"/>
    <hyperlink ref="B32" r:id="rId11" display="http://www.uzit.co.il/poll2006.html"/>
    <hyperlink ref="B33" r:id="rId12" display="http://en.wikipedia.org/wiki/Israeli_legislative_election,_2006#Pre-election_opinion_polling"/>
    <hyperlink ref="B31" r:id="rId13" display="http://www.imra.org.il/story.php3?id=28868"/>
    <hyperlink ref="B30" r:id="rId14" display="http://www.knesset.gov.il/elections17/heb/results/Main_Results.asp"/>
  </hyperlinks>
  <printOptions/>
  <pageMargins left="0.75" right="0.75" top="1" bottom="1" header="0.5" footer="0.5"/>
  <pageSetup horizontalDpi="300" verticalDpi="300" orientation="portrait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zoomScalePageLayoutView="0" workbookViewId="0" topLeftCell="A109">
      <selection activeCell="A134" sqref="A134"/>
    </sheetView>
  </sheetViews>
  <sheetFormatPr defaultColWidth="9.140625" defaultRowHeight="12.75"/>
  <cols>
    <col min="1" max="1" width="25.00390625" style="34" customWidth="1"/>
    <col min="2" max="2" width="9.28125" style="34" customWidth="1"/>
    <col min="3" max="3" width="8.140625" style="34" customWidth="1"/>
    <col min="4" max="4" width="10.140625" style="34" customWidth="1"/>
    <col min="5" max="5" width="7.421875" style="34" customWidth="1"/>
    <col min="6" max="6" width="8.57421875" style="34" customWidth="1"/>
    <col min="7" max="7" width="8.421875" style="34" customWidth="1"/>
    <col min="8" max="8" width="8.28125" style="34" customWidth="1"/>
    <col min="9" max="9" width="2.140625" style="34" customWidth="1"/>
    <col min="10" max="10" width="11.8515625" style="34" customWidth="1"/>
    <col min="11" max="16384" width="9.140625" style="34" customWidth="1"/>
  </cols>
  <sheetData>
    <row r="1" spans="1:18" ht="12">
      <c r="A1" s="269" t="s">
        <v>16</v>
      </c>
      <c r="B1" s="278" t="s">
        <v>78</v>
      </c>
      <c r="C1" s="278"/>
      <c r="D1" s="278"/>
      <c r="E1" s="278"/>
      <c r="F1" s="278"/>
      <c r="G1" s="278"/>
      <c r="H1" s="279"/>
      <c r="I1" s="51"/>
      <c r="J1" s="51"/>
      <c r="K1" s="51"/>
      <c r="L1" s="51"/>
      <c r="M1" s="51"/>
      <c r="N1" s="51"/>
      <c r="O1" s="35"/>
      <c r="P1" s="35"/>
      <c r="Q1" s="35"/>
      <c r="R1" s="35"/>
    </row>
    <row r="2" spans="1:18" ht="12">
      <c r="A2" s="307"/>
      <c r="B2" s="160" t="s">
        <v>13</v>
      </c>
      <c r="C2" s="161" t="s">
        <v>14</v>
      </c>
      <c r="D2" s="161" t="s">
        <v>66</v>
      </c>
      <c r="E2" s="161"/>
      <c r="F2" s="161" t="s">
        <v>15</v>
      </c>
      <c r="G2" s="161" t="s">
        <v>80</v>
      </c>
      <c r="H2" s="162" t="s">
        <v>49</v>
      </c>
      <c r="I2" s="51"/>
      <c r="J2" s="51"/>
      <c r="K2" s="51"/>
      <c r="L2" s="51"/>
      <c r="M2" s="51"/>
      <c r="N2" s="51"/>
      <c r="O2" s="35"/>
      <c r="P2" s="35"/>
      <c r="Q2" s="35"/>
      <c r="R2" s="35"/>
    </row>
    <row r="3" spans="1:18" ht="12">
      <c r="A3" s="181" t="s">
        <v>348</v>
      </c>
      <c r="B3" s="164">
        <v>70</v>
      </c>
      <c r="C3" s="164">
        <v>50</v>
      </c>
      <c r="D3" s="165">
        <f aca="true" t="shared" si="0" ref="D3:D11">B3+C3</f>
        <v>120</v>
      </c>
      <c r="E3" s="161"/>
      <c r="F3" s="179">
        <f aca="true" t="shared" si="1" ref="F3:F10">ABS(B3-C3)</f>
        <v>20</v>
      </c>
      <c r="G3" s="161"/>
      <c r="H3" s="180"/>
      <c r="I3" s="51"/>
      <c r="J3" s="51"/>
      <c r="K3" s="51"/>
      <c r="L3" s="51"/>
      <c r="M3" s="51"/>
      <c r="N3" s="51"/>
      <c r="O3" s="35"/>
      <c r="P3" s="35"/>
      <c r="Q3" s="35"/>
      <c r="R3" s="35"/>
    </row>
    <row r="4" spans="1:18" ht="12">
      <c r="A4" s="152" t="s">
        <v>108</v>
      </c>
      <c r="B4" s="143">
        <v>70</v>
      </c>
      <c r="C4" s="143">
        <v>50</v>
      </c>
      <c r="D4" s="35">
        <f t="shared" si="0"/>
        <v>120</v>
      </c>
      <c r="E4" s="48"/>
      <c r="F4" s="37">
        <f t="shared" si="1"/>
        <v>20</v>
      </c>
      <c r="G4" s="144">
        <v>0</v>
      </c>
      <c r="H4" s="153" t="s">
        <v>54</v>
      </c>
      <c r="I4" s="51"/>
      <c r="J4" s="51"/>
      <c r="K4" s="51"/>
      <c r="L4" s="51"/>
      <c r="M4" s="51"/>
      <c r="N4" s="51"/>
      <c r="O4" s="35"/>
      <c r="P4" s="35"/>
      <c r="Q4" s="35"/>
      <c r="R4" s="35"/>
    </row>
    <row r="5" spans="1:18" ht="12">
      <c r="A5" s="152" t="s">
        <v>350</v>
      </c>
      <c r="B5" s="143">
        <v>70</v>
      </c>
      <c r="C5" s="143">
        <v>50</v>
      </c>
      <c r="D5" s="35">
        <f t="shared" si="0"/>
        <v>120</v>
      </c>
      <c r="E5" s="48"/>
      <c r="F5" s="37">
        <f t="shared" si="1"/>
        <v>20</v>
      </c>
      <c r="G5" s="144">
        <v>0</v>
      </c>
      <c r="H5" s="153" t="s">
        <v>54</v>
      </c>
      <c r="I5" s="51"/>
      <c r="J5" s="51"/>
      <c r="K5" s="51"/>
      <c r="L5" s="51"/>
      <c r="M5" s="51"/>
      <c r="N5" s="51"/>
      <c r="O5" s="35"/>
      <c r="P5" s="35"/>
      <c r="Q5" s="35"/>
      <c r="R5" s="35"/>
    </row>
    <row r="6" spans="1:18" ht="12">
      <c r="A6" s="152" t="s">
        <v>43</v>
      </c>
      <c r="B6" s="143">
        <v>69</v>
      </c>
      <c r="C6" s="143">
        <v>51</v>
      </c>
      <c r="D6" s="35">
        <f t="shared" si="0"/>
        <v>120</v>
      </c>
      <c r="E6" s="48"/>
      <c r="F6" s="37">
        <f t="shared" si="1"/>
        <v>18</v>
      </c>
      <c r="G6" s="144">
        <v>1.7</v>
      </c>
      <c r="H6" s="153" t="s">
        <v>50</v>
      </c>
      <c r="I6" s="51"/>
      <c r="J6" s="51"/>
      <c r="K6" s="51"/>
      <c r="L6" s="51"/>
      <c r="M6" s="51"/>
      <c r="N6" s="51"/>
      <c r="O6" s="35"/>
      <c r="P6" s="35"/>
      <c r="Q6" s="35"/>
      <c r="R6" s="35"/>
    </row>
    <row r="7" spans="1:18" ht="12">
      <c r="A7" s="152" t="s">
        <v>207</v>
      </c>
      <c r="B7" s="143">
        <v>65</v>
      </c>
      <c r="C7" s="143">
        <v>55</v>
      </c>
      <c r="D7" s="35">
        <f t="shared" si="0"/>
        <v>120</v>
      </c>
      <c r="E7" s="48"/>
      <c r="F7" s="37">
        <f t="shared" si="1"/>
        <v>10</v>
      </c>
      <c r="G7" s="144">
        <v>8.3</v>
      </c>
      <c r="H7" s="153" t="s">
        <v>50</v>
      </c>
      <c r="I7" s="51"/>
      <c r="J7" s="51"/>
      <c r="K7" s="51"/>
      <c r="L7" s="51"/>
      <c r="M7" s="51"/>
      <c r="N7" s="51"/>
      <c r="O7" s="35"/>
      <c r="P7" s="35"/>
      <c r="Q7" s="35"/>
      <c r="R7" s="35"/>
    </row>
    <row r="8" spans="1:18" ht="12">
      <c r="A8" s="152" t="s">
        <v>361</v>
      </c>
      <c r="B8" s="143">
        <v>69</v>
      </c>
      <c r="C8" s="143">
        <v>51.5</v>
      </c>
      <c r="D8" s="50">
        <f t="shared" si="0"/>
        <v>120.5</v>
      </c>
      <c r="E8" s="48"/>
      <c r="F8" s="37">
        <f t="shared" si="1"/>
        <v>17.5</v>
      </c>
      <c r="G8" s="144">
        <v>0.4</v>
      </c>
      <c r="H8" s="153" t="s">
        <v>50</v>
      </c>
      <c r="I8" s="51"/>
      <c r="J8" s="51"/>
      <c r="K8" s="51"/>
      <c r="L8" s="51"/>
      <c r="M8" s="51"/>
      <c r="N8" s="51"/>
      <c r="O8" s="35"/>
      <c r="P8" s="35"/>
      <c r="Q8" s="35"/>
      <c r="R8" s="35"/>
    </row>
    <row r="9" spans="1:18" ht="12">
      <c r="A9" s="152" t="s">
        <v>362</v>
      </c>
      <c r="B9" s="143">
        <v>68</v>
      </c>
      <c r="C9" s="143">
        <v>52</v>
      </c>
      <c r="D9" s="50">
        <f t="shared" si="0"/>
        <v>120</v>
      </c>
      <c r="E9" s="48"/>
      <c r="F9" s="37">
        <f t="shared" si="1"/>
        <v>16</v>
      </c>
      <c r="G9" s="144">
        <v>3.3</v>
      </c>
      <c r="H9" s="153" t="s">
        <v>50</v>
      </c>
      <c r="I9" s="51"/>
      <c r="J9" s="51"/>
      <c r="K9" s="51"/>
      <c r="L9" s="51"/>
      <c r="M9" s="51"/>
      <c r="N9" s="51"/>
      <c r="O9" s="35"/>
      <c r="P9" s="35"/>
      <c r="Q9" s="35"/>
      <c r="R9" s="35"/>
    </row>
    <row r="10" spans="1:18" ht="12">
      <c r="A10" s="152" t="s">
        <v>351</v>
      </c>
      <c r="B10" s="143">
        <v>67.5</v>
      </c>
      <c r="C10" s="143">
        <v>52.5</v>
      </c>
      <c r="D10" s="50">
        <f t="shared" si="0"/>
        <v>120</v>
      </c>
      <c r="E10" s="48"/>
      <c r="F10" s="37">
        <f t="shared" si="1"/>
        <v>15</v>
      </c>
      <c r="G10" s="144">
        <v>4.2</v>
      </c>
      <c r="H10" s="153" t="s">
        <v>50</v>
      </c>
      <c r="I10" s="51"/>
      <c r="J10" s="51"/>
      <c r="K10" s="51"/>
      <c r="L10" s="51"/>
      <c r="M10" s="51"/>
      <c r="N10" s="51"/>
      <c r="O10" s="35"/>
      <c r="P10" s="35"/>
      <c r="Q10" s="35"/>
      <c r="R10" s="35"/>
    </row>
    <row r="11" spans="1:8" ht="12">
      <c r="A11" s="163" t="s">
        <v>46</v>
      </c>
      <c r="B11" s="164">
        <f>AVERAGE(B4,B5,B6,B7)</f>
        <v>68.5</v>
      </c>
      <c r="C11" s="164">
        <f>AVERAGE(C4,C5,C6,C7)</f>
        <v>51.5</v>
      </c>
      <c r="D11" s="165">
        <f t="shared" si="0"/>
        <v>120</v>
      </c>
      <c r="E11" s="165"/>
      <c r="F11" s="164">
        <f>AVERAGE(F4,F5,F6,F7)</f>
        <v>17</v>
      </c>
      <c r="G11" s="166">
        <f>AVERAGE(G4,G5,G6,G7,G8,G9,G10)</f>
        <v>2.557142857142857</v>
      </c>
      <c r="H11" s="167" t="s">
        <v>50</v>
      </c>
    </row>
    <row r="12" spans="1:8" ht="12">
      <c r="A12" s="155" t="s">
        <v>88</v>
      </c>
      <c r="B12" s="156"/>
      <c r="C12" s="156"/>
      <c r="D12" s="157"/>
      <c r="E12" s="157">
        <v>7</v>
      </c>
      <c r="F12" s="156"/>
      <c r="G12" s="158">
        <f>E12*G11</f>
        <v>17.9</v>
      </c>
      <c r="H12" s="159" t="s">
        <v>50</v>
      </c>
    </row>
    <row r="13" spans="1:8" ht="12">
      <c r="A13" s="50"/>
      <c r="B13" s="143"/>
      <c r="C13" s="143"/>
      <c r="D13" s="35"/>
      <c r="E13" s="35"/>
      <c r="F13" s="143"/>
      <c r="G13" s="145"/>
      <c r="H13" s="146"/>
    </row>
    <row r="14" spans="1:8" ht="12">
      <c r="A14" s="50"/>
      <c r="B14" s="44"/>
      <c r="C14" s="44"/>
      <c r="F14" s="44"/>
      <c r="G14" s="147"/>
      <c r="H14" s="146"/>
    </row>
    <row r="16" spans="1:18" ht="12">
      <c r="A16" s="267" t="s">
        <v>18</v>
      </c>
      <c r="B16" s="280" t="s">
        <v>79</v>
      </c>
      <c r="C16" s="278"/>
      <c r="D16" s="278"/>
      <c r="E16" s="278"/>
      <c r="F16" s="278"/>
      <c r="G16" s="278"/>
      <c r="H16" s="279"/>
      <c r="I16" s="51"/>
      <c r="J16" s="51"/>
      <c r="K16" s="51"/>
      <c r="L16" s="51"/>
      <c r="M16" s="51"/>
      <c r="N16" s="51"/>
      <c r="O16" s="35"/>
      <c r="P16" s="35"/>
      <c r="Q16" s="35"/>
      <c r="R16" s="35"/>
    </row>
    <row r="17" spans="1:18" ht="12">
      <c r="A17" s="268"/>
      <c r="B17" s="171" t="s">
        <v>13</v>
      </c>
      <c r="C17" s="176" t="s">
        <v>14</v>
      </c>
      <c r="D17" s="176" t="s">
        <v>66</v>
      </c>
      <c r="E17" s="176"/>
      <c r="F17" s="176" t="s">
        <v>15</v>
      </c>
      <c r="G17" s="176" t="s">
        <v>80</v>
      </c>
      <c r="H17" s="177" t="s">
        <v>49</v>
      </c>
      <c r="I17" s="51"/>
      <c r="J17" s="51"/>
      <c r="K17" s="51"/>
      <c r="L17" s="51"/>
      <c r="M17" s="51"/>
      <c r="N17" s="51"/>
      <c r="O17" s="35"/>
      <c r="P17" s="35"/>
      <c r="Q17" s="35"/>
      <c r="R17" s="35"/>
    </row>
    <row r="18" spans="1:18" ht="12">
      <c r="A18" s="181" t="s">
        <v>348</v>
      </c>
      <c r="B18" s="178">
        <v>51</v>
      </c>
      <c r="C18" s="164">
        <v>69</v>
      </c>
      <c r="D18" s="165">
        <f aca="true" t="shared" si="2" ref="D18:D24">B18+C18</f>
        <v>120</v>
      </c>
      <c r="E18" s="161"/>
      <c r="F18" s="179">
        <f aca="true" t="shared" si="3" ref="F18:F24">ABS(B18-C18)</f>
        <v>18</v>
      </c>
      <c r="G18" s="161"/>
      <c r="H18" s="180"/>
      <c r="I18" s="51"/>
      <c r="J18" s="51"/>
      <c r="K18" s="51"/>
      <c r="L18" s="51"/>
      <c r="M18" s="51"/>
      <c r="N18" s="51"/>
      <c r="O18" s="35"/>
      <c r="P18" s="35"/>
      <c r="Q18" s="35"/>
      <c r="R18" s="35"/>
    </row>
    <row r="19" spans="1:18" ht="12">
      <c r="A19" s="39" t="s">
        <v>299</v>
      </c>
      <c r="B19" s="173">
        <v>56.5</v>
      </c>
      <c r="C19" s="143">
        <v>63.5</v>
      </c>
      <c r="D19" s="35">
        <f t="shared" si="2"/>
        <v>120</v>
      </c>
      <c r="E19" s="48"/>
      <c r="F19" s="37">
        <f t="shared" si="3"/>
        <v>7</v>
      </c>
      <c r="G19" s="144">
        <v>9.2</v>
      </c>
      <c r="H19" s="153" t="s">
        <v>51</v>
      </c>
      <c r="I19" s="51"/>
      <c r="J19" s="51"/>
      <c r="K19" s="51"/>
      <c r="L19" s="51"/>
      <c r="M19" s="51"/>
      <c r="N19" s="51"/>
      <c r="O19" s="35"/>
      <c r="P19" s="35"/>
      <c r="Q19" s="35"/>
      <c r="R19" s="35"/>
    </row>
    <row r="20" spans="1:18" ht="12">
      <c r="A20" s="39" t="s">
        <v>252</v>
      </c>
      <c r="B20" s="173">
        <v>55</v>
      </c>
      <c r="C20" s="143">
        <v>65</v>
      </c>
      <c r="D20" s="35">
        <f t="shared" si="2"/>
        <v>120</v>
      </c>
      <c r="E20" s="48"/>
      <c r="F20" s="37">
        <f t="shared" si="3"/>
        <v>10</v>
      </c>
      <c r="G20" s="144">
        <v>6.7</v>
      </c>
      <c r="H20" s="153" t="s">
        <v>51</v>
      </c>
      <c r="I20" s="51"/>
      <c r="J20" s="51"/>
      <c r="K20" s="51"/>
      <c r="L20" s="51"/>
      <c r="M20" s="51"/>
      <c r="N20" s="51"/>
      <c r="O20" s="35"/>
      <c r="P20" s="35"/>
      <c r="Q20" s="35"/>
      <c r="R20" s="35"/>
    </row>
    <row r="21" spans="1:18" ht="12">
      <c r="A21" s="39" t="s">
        <v>363</v>
      </c>
      <c r="B21" s="173">
        <v>52.5</v>
      </c>
      <c r="C21" s="143">
        <v>67.5</v>
      </c>
      <c r="D21" s="35">
        <f t="shared" si="2"/>
        <v>120</v>
      </c>
      <c r="E21" s="48"/>
      <c r="F21" s="37">
        <f t="shared" si="3"/>
        <v>15</v>
      </c>
      <c r="G21" s="144">
        <v>2.5</v>
      </c>
      <c r="H21" s="153" t="s">
        <v>51</v>
      </c>
      <c r="I21" s="51"/>
      <c r="J21" s="51"/>
      <c r="K21" s="51"/>
      <c r="L21" s="51"/>
      <c r="M21" s="51"/>
      <c r="N21" s="51"/>
      <c r="O21" s="35"/>
      <c r="P21" s="35"/>
      <c r="Q21" s="35"/>
      <c r="R21" s="35"/>
    </row>
    <row r="22" spans="1:18" ht="12">
      <c r="A22" s="39" t="s">
        <v>251</v>
      </c>
      <c r="B22" s="173">
        <v>56</v>
      </c>
      <c r="C22" s="143">
        <v>64</v>
      </c>
      <c r="D22" s="35">
        <f t="shared" si="2"/>
        <v>120</v>
      </c>
      <c r="E22" s="48"/>
      <c r="F22" s="37">
        <f t="shared" si="3"/>
        <v>8</v>
      </c>
      <c r="G22" s="144">
        <v>8.3</v>
      </c>
      <c r="H22" s="153" t="s">
        <v>51</v>
      </c>
      <c r="I22" s="51"/>
      <c r="J22" s="51"/>
      <c r="K22" s="51"/>
      <c r="L22" s="51"/>
      <c r="M22" s="51"/>
      <c r="N22" s="51"/>
      <c r="O22" s="35"/>
      <c r="P22" s="35"/>
      <c r="Q22" s="35"/>
      <c r="R22" s="35"/>
    </row>
    <row r="23" spans="1:18" ht="12">
      <c r="A23" s="39" t="s">
        <v>362</v>
      </c>
      <c r="B23" s="173">
        <v>53.5</v>
      </c>
      <c r="C23" s="143">
        <v>65.5</v>
      </c>
      <c r="D23" s="35">
        <f t="shared" si="2"/>
        <v>119</v>
      </c>
      <c r="E23" s="48"/>
      <c r="F23" s="37">
        <f t="shared" si="3"/>
        <v>12</v>
      </c>
      <c r="G23" s="144">
        <v>5</v>
      </c>
      <c r="H23" s="153" t="s">
        <v>51</v>
      </c>
      <c r="I23" s="51"/>
      <c r="J23" s="51"/>
      <c r="K23" s="51"/>
      <c r="L23" s="51"/>
      <c r="M23" s="51"/>
      <c r="N23" s="51"/>
      <c r="O23" s="35"/>
      <c r="P23" s="35"/>
      <c r="Q23" s="35"/>
      <c r="R23" s="35"/>
    </row>
    <row r="24" spans="1:18" ht="12">
      <c r="A24" s="172" t="s">
        <v>108</v>
      </c>
      <c r="B24" s="174">
        <v>55</v>
      </c>
      <c r="C24" s="156">
        <v>64</v>
      </c>
      <c r="D24" s="157">
        <f t="shared" si="2"/>
        <v>119</v>
      </c>
      <c r="E24" s="168"/>
      <c r="F24" s="42">
        <f t="shared" si="3"/>
        <v>9</v>
      </c>
      <c r="G24" s="169">
        <v>7.5</v>
      </c>
      <c r="H24" s="170" t="s">
        <v>51</v>
      </c>
      <c r="I24" s="51"/>
      <c r="J24" s="51"/>
      <c r="K24" s="51"/>
      <c r="L24" s="51"/>
      <c r="M24" s="51"/>
      <c r="N24" s="51"/>
      <c r="O24" s="35"/>
      <c r="P24" s="35"/>
      <c r="Q24" s="35"/>
      <c r="R24" s="35"/>
    </row>
    <row r="25" spans="1:18" ht="12">
      <c r="A25" s="175" t="s">
        <v>46</v>
      </c>
      <c r="B25" s="196">
        <f>AVERAGE(B19,B20,B21,B22,B23,B24)</f>
        <v>54.75</v>
      </c>
      <c r="C25" s="166">
        <f>AVERAGE(C19,C20,C21,C22,C23,C24)</f>
        <v>64.91666666666667</v>
      </c>
      <c r="D25" s="179">
        <f>B25+C25</f>
        <v>119.66666666666667</v>
      </c>
      <c r="E25" s="161"/>
      <c r="F25" s="166">
        <f>AVERAGE(F19,F20,F21,F22,F23,F24)</f>
        <v>10.166666666666666</v>
      </c>
      <c r="G25" s="166">
        <f>AVERAGE(G19,G20,G21,G22,G23,G24)</f>
        <v>6.533333333333334</v>
      </c>
      <c r="H25" s="180" t="s">
        <v>51</v>
      </c>
      <c r="I25" s="51"/>
      <c r="J25" s="51"/>
      <c r="K25" s="51"/>
      <c r="L25" s="51"/>
      <c r="M25" s="51"/>
      <c r="N25" s="51"/>
      <c r="O25" s="35"/>
      <c r="P25" s="35"/>
      <c r="Q25" s="35"/>
      <c r="R25" s="35"/>
    </row>
    <row r="26" spans="1:18" ht="12">
      <c r="A26" s="163" t="s">
        <v>88</v>
      </c>
      <c r="B26" s="195"/>
      <c r="C26" s="158"/>
      <c r="D26" s="42"/>
      <c r="E26" s="156">
        <v>6</v>
      </c>
      <c r="F26" s="158"/>
      <c r="G26" s="158">
        <f>E26*G25</f>
        <v>39.2</v>
      </c>
      <c r="H26" s="170" t="s">
        <v>51</v>
      </c>
      <c r="I26" s="51"/>
      <c r="J26" s="51"/>
      <c r="K26" s="51"/>
      <c r="L26" s="51"/>
      <c r="M26" s="51"/>
      <c r="N26" s="51"/>
      <c r="O26" s="35"/>
      <c r="P26" s="35"/>
      <c r="Q26" s="35"/>
      <c r="R26" s="35"/>
    </row>
    <row r="27" spans="1:18" ht="12">
      <c r="A27" s="50"/>
      <c r="B27" s="145"/>
      <c r="C27" s="145"/>
      <c r="D27" s="37"/>
      <c r="E27" s="143"/>
      <c r="F27" s="145"/>
      <c r="G27" s="145"/>
      <c r="H27" s="48"/>
      <c r="I27" s="51"/>
      <c r="J27" s="51"/>
      <c r="K27" s="51"/>
      <c r="L27" s="51"/>
      <c r="M27" s="51"/>
      <c r="N27" s="51"/>
      <c r="O27" s="35"/>
      <c r="P27" s="35"/>
      <c r="Q27" s="35"/>
      <c r="R27" s="35"/>
    </row>
    <row r="28" spans="1:18" ht="12">
      <c r="A28" s="35"/>
      <c r="B28" s="48"/>
      <c r="C28" s="48"/>
      <c r="E28" s="48"/>
      <c r="F28" s="148"/>
      <c r="G28" s="144"/>
      <c r="H28" s="48"/>
      <c r="I28" s="51"/>
      <c r="J28" s="51"/>
      <c r="K28" s="51"/>
      <c r="L28" s="51"/>
      <c r="M28" s="51"/>
      <c r="N28" s="51"/>
      <c r="O28" s="35"/>
      <c r="P28" s="35"/>
      <c r="Q28" s="35"/>
      <c r="R28" s="35"/>
    </row>
    <row r="29" spans="1:18" ht="12">
      <c r="A29" s="35"/>
      <c r="B29" s="48"/>
      <c r="C29" s="48"/>
      <c r="E29" s="48"/>
      <c r="F29" s="148"/>
      <c r="G29" s="144"/>
      <c r="H29" s="48"/>
      <c r="I29" s="51"/>
      <c r="J29" s="51"/>
      <c r="K29" s="51"/>
      <c r="L29" s="51"/>
      <c r="M29" s="51"/>
      <c r="N29" s="51"/>
      <c r="O29" s="35"/>
      <c r="P29" s="35"/>
      <c r="Q29" s="35"/>
      <c r="R29" s="35"/>
    </row>
    <row r="30" spans="1:18" ht="12">
      <c r="A30" s="267" t="s">
        <v>52</v>
      </c>
      <c r="B30" s="275" t="s">
        <v>81</v>
      </c>
      <c r="C30" s="276"/>
      <c r="D30" s="276"/>
      <c r="E30" s="276"/>
      <c r="F30" s="276"/>
      <c r="G30" s="276"/>
      <c r="H30" s="277"/>
      <c r="I30" s="51"/>
      <c r="J30" s="51"/>
      <c r="K30" s="51"/>
      <c r="L30" s="51"/>
      <c r="M30" s="51"/>
      <c r="N30" s="51"/>
      <c r="O30" s="35"/>
      <c r="P30" s="35"/>
      <c r="Q30" s="35"/>
      <c r="R30" s="35"/>
    </row>
    <row r="31" spans="1:18" ht="12">
      <c r="A31" s="268"/>
      <c r="B31" s="171" t="s">
        <v>13</v>
      </c>
      <c r="C31" s="176" t="s">
        <v>14</v>
      </c>
      <c r="D31" s="176" t="s">
        <v>66</v>
      </c>
      <c r="E31" s="176"/>
      <c r="F31" s="176" t="s">
        <v>15</v>
      </c>
      <c r="G31" s="176" t="s">
        <v>80</v>
      </c>
      <c r="H31" s="177" t="s">
        <v>49</v>
      </c>
      <c r="I31" s="51"/>
      <c r="J31" s="51"/>
      <c r="K31" s="51"/>
      <c r="L31" s="51"/>
      <c r="M31" s="51"/>
      <c r="N31" s="51"/>
      <c r="O31" s="35"/>
      <c r="P31" s="35"/>
      <c r="Q31" s="35"/>
      <c r="R31" s="35"/>
    </row>
    <row r="32" spans="1:18" ht="12">
      <c r="A32" s="182" t="s">
        <v>348</v>
      </c>
      <c r="B32" s="178">
        <v>60</v>
      </c>
      <c r="C32" s="164">
        <v>60</v>
      </c>
      <c r="D32" s="165">
        <f>B32+C32</f>
        <v>120</v>
      </c>
      <c r="E32" s="161"/>
      <c r="F32" s="179">
        <f>ABS(B32-C32)</f>
        <v>0</v>
      </c>
      <c r="G32" s="161"/>
      <c r="H32" s="180"/>
      <c r="I32" s="51"/>
      <c r="J32" s="51"/>
      <c r="K32" s="51"/>
      <c r="L32" s="51"/>
      <c r="M32" s="51"/>
      <c r="N32" s="51"/>
      <c r="O32" s="35"/>
      <c r="P32" s="35"/>
      <c r="Q32" s="35"/>
      <c r="R32" s="35"/>
    </row>
    <row r="33" spans="1:18" ht="12">
      <c r="A33" s="39" t="s">
        <v>38</v>
      </c>
      <c r="B33" s="173">
        <v>66</v>
      </c>
      <c r="C33" s="143">
        <v>56</v>
      </c>
      <c r="D33" s="35">
        <f>B33+C33</f>
        <v>122</v>
      </c>
      <c r="E33" s="48"/>
      <c r="F33" s="37">
        <f>ABS(B33-C33)</f>
        <v>10</v>
      </c>
      <c r="G33" s="144">
        <v>8.3</v>
      </c>
      <c r="H33" s="153" t="s">
        <v>51</v>
      </c>
      <c r="I33" s="51"/>
      <c r="J33" s="51"/>
      <c r="K33" s="51"/>
      <c r="L33" s="51"/>
      <c r="M33" s="51"/>
      <c r="N33" s="51"/>
      <c r="O33" s="35"/>
      <c r="P33" s="35"/>
      <c r="Q33" s="35"/>
      <c r="R33" s="35"/>
    </row>
    <row r="34" spans="1:18" ht="12">
      <c r="A34" s="39" t="s">
        <v>43</v>
      </c>
      <c r="B34" s="173">
        <v>64.5</v>
      </c>
      <c r="C34" s="143">
        <v>55</v>
      </c>
      <c r="D34" s="35">
        <f>B34+C34</f>
        <v>119.5</v>
      </c>
      <c r="E34" s="48"/>
      <c r="F34" s="37">
        <f>ABS(B34-C34)</f>
        <v>9.5</v>
      </c>
      <c r="G34" s="144">
        <v>7.9</v>
      </c>
      <c r="H34" s="153" t="s">
        <v>51</v>
      </c>
      <c r="I34" s="51"/>
      <c r="J34" s="51"/>
      <c r="K34" s="51"/>
      <c r="L34" s="51"/>
      <c r="M34" s="51"/>
      <c r="N34" s="51"/>
      <c r="O34" s="35"/>
      <c r="P34" s="35"/>
      <c r="Q34" s="35"/>
      <c r="R34" s="35"/>
    </row>
    <row r="35" spans="1:18" ht="12">
      <c r="A35" s="183" t="s">
        <v>46</v>
      </c>
      <c r="B35" s="178">
        <f>AVERAGE(B33,B34)</f>
        <v>65.25</v>
      </c>
      <c r="C35" s="164">
        <f>AVERAGE(C33,C34)</f>
        <v>55.5</v>
      </c>
      <c r="D35" s="165">
        <f>B35+C35</f>
        <v>120.75</v>
      </c>
      <c r="E35" s="161"/>
      <c r="F35" s="164">
        <f>AVERAGE(F33,F34)</f>
        <v>9.75</v>
      </c>
      <c r="G35" s="164">
        <f>AVERAGE(G33,G34)</f>
        <v>8.100000000000001</v>
      </c>
      <c r="H35" s="180" t="s">
        <v>51</v>
      </c>
      <c r="I35" s="51"/>
      <c r="J35" s="51"/>
      <c r="K35" s="51"/>
      <c r="L35" s="51"/>
      <c r="M35" s="51"/>
      <c r="N35" s="51"/>
      <c r="O35" s="35"/>
      <c r="P35" s="35"/>
      <c r="Q35" s="35"/>
      <c r="R35" s="35"/>
    </row>
    <row r="36" spans="1:18" ht="12">
      <c r="A36" s="163" t="s">
        <v>88</v>
      </c>
      <c r="B36" s="156"/>
      <c r="C36" s="156"/>
      <c r="D36" s="157"/>
      <c r="E36" s="156">
        <v>2</v>
      </c>
      <c r="F36" s="156"/>
      <c r="G36" s="158">
        <f>E36*G35</f>
        <v>16.200000000000003</v>
      </c>
      <c r="H36" s="170" t="s">
        <v>51</v>
      </c>
      <c r="I36" s="51"/>
      <c r="J36" s="51"/>
      <c r="K36" s="51"/>
      <c r="L36" s="51"/>
      <c r="M36" s="51"/>
      <c r="N36" s="51"/>
      <c r="O36" s="35"/>
      <c r="P36" s="35"/>
      <c r="Q36" s="35"/>
      <c r="R36" s="35"/>
    </row>
    <row r="37" spans="1:18" ht="12">
      <c r="A37" s="50"/>
      <c r="B37" s="143"/>
      <c r="C37" s="143"/>
      <c r="D37" s="35"/>
      <c r="E37" s="143"/>
      <c r="F37" s="143"/>
      <c r="G37" s="143"/>
      <c r="H37" s="48"/>
      <c r="I37" s="51"/>
      <c r="J37" s="51"/>
      <c r="K37" s="51"/>
      <c r="L37" s="51"/>
      <c r="M37" s="51"/>
      <c r="N37" s="51"/>
      <c r="O37" s="35"/>
      <c r="P37" s="35"/>
      <c r="Q37" s="35"/>
      <c r="R37" s="35"/>
    </row>
    <row r="38" spans="1:18" ht="12">
      <c r="A38" s="35"/>
      <c r="B38" s="48"/>
      <c r="C38" s="48"/>
      <c r="E38" s="48"/>
      <c r="F38" s="148"/>
      <c r="G38" s="144"/>
      <c r="H38" s="48"/>
      <c r="I38" s="51"/>
      <c r="J38" s="51"/>
      <c r="K38" s="51"/>
      <c r="L38" s="51"/>
      <c r="M38" s="51"/>
      <c r="N38" s="51"/>
      <c r="O38" s="35"/>
      <c r="P38" s="35"/>
      <c r="Q38" s="35"/>
      <c r="R38" s="35"/>
    </row>
    <row r="39" spans="1:18" ht="12">
      <c r="A39" s="35"/>
      <c r="B39" s="48"/>
      <c r="C39" s="48"/>
      <c r="E39" s="48"/>
      <c r="F39" s="148"/>
      <c r="G39" s="144"/>
      <c r="H39" s="48"/>
      <c r="I39" s="51"/>
      <c r="J39" s="51"/>
      <c r="K39" s="51"/>
      <c r="L39" s="51"/>
      <c r="M39" s="51"/>
      <c r="N39" s="51"/>
      <c r="O39" s="35"/>
      <c r="P39" s="35"/>
      <c r="Q39" s="35"/>
      <c r="R39" s="35"/>
    </row>
    <row r="40" spans="1:18" ht="12">
      <c r="A40" s="267" t="s">
        <v>237</v>
      </c>
      <c r="B40" s="280" t="s">
        <v>238</v>
      </c>
      <c r="C40" s="278"/>
      <c r="D40" s="278"/>
      <c r="E40" s="278"/>
      <c r="F40" s="278"/>
      <c r="G40" s="278"/>
      <c r="H40" s="279"/>
      <c r="I40" s="51"/>
      <c r="J40" s="51"/>
      <c r="K40" s="51"/>
      <c r="L40" s="51"/>
      <c r="M40" s="51"/>
      <c r="N40" s="51"/>
      <c r="O40" s="35"/>
      <c r="P40" s="35"/>
      <c r="Q40" s="35"/>
      <c r="R40" s="35"/>
    </row>
    <row r="41" spans="1:18" ht="12">
      <c r="A41" s="268"/>
      <c r="B41" s="160" t="s">
        <v>13</v>
      </c>
      <c r="C41" s="161" t="s">
        <v>14</v>
      </c>
      <c r="D41" s="161" t="s">
        <v>66</v>
      </c>
      <c r="E41" s="161"/>
      <c r="F41" s="161" t="s">
        <v>15</v>
      </c>
      <c r="G41" s="161" t="s">
        <v>80</v>
      </c>
      <c r="H41" s="162" t="s">
        <v>49</v>
      </c>
      <c r="I41" s="51"/>
      <c r="J41" s="149" t="s">
        <v>55</v>
      </c>
      <c r="K41" s="51"/>
      <c r="L41" s="51"/>
      <c r="M41" s="51"/>
      <c r="N41" s="51"/>
      <c r="O41" s="35"/>
      <c r="P41" s="35"/>
      <c r="Q41" s="35"/>
      <c r="R41" s="35"/>
    </row>
    <row r="42" spans="1:18" ht="12">
      <c r="A42" s="181" t="s">
        <v>348</v>
      </c>
      <c r="B42" s="156">
        <v>52</v>
      </c>
      <c r="C42" s="156">
        <v>68</v>
      </c>
      <c r="D42" s="157">
        <f>B42+C42</f>
        <v>120</v>
      </c>
      <c r="E42" s="168"/>
      <c r="F42" s="42">
        <f>ABS(B42-C42)</f>
        <v>16</v>
      </c>
      <c r="G42" s="168"/>
      <c r="H42" s="170"/>
      <c r="I42" s="51"/>
      <c r="J42" s="45" t="s">
        <v>165</v>
      </c>
      <c r="K42" s="51"/>
      <c r="L42" s="51"/>
      <c r="M42" s="51"/>
      <c r="N42" s="51"/>
      <c r="O42" s="35"/>
      <c r="P42" s="35"/>
      <c r="Q42" s="35"/>
      <c r="R42" s="35"/>
    </row>
    <row r="43" spans="1:18" ht="12">
      <c r="A43" s="35"/>
      <c r="B43" s="48"/>
      <c r="C43" s="48"/>
      <c r="E43" s="48"/>
      <c r="F43" s="148"/>
      <c r="G43" s="144"/>
      <c r="H43" s="48"/>
      <c r="I43" s="51"/>
      <c r="J43" s="51"/>
      <c r="K43" s="51"/>
      <c r="L43" s="51"/>
      <c r="M43" s="51"/>
      <c r="N43" s="51"/>
      <c r="O43" s="35"/>
      <c r="P43" s="35"/>
      <c r="Q43" s="35"/>
      <c r="R43" s="35"/>
    </row>
    <row r="44" spans="1:18" ht="12">
      <c r="A44" s="35"/>
      <c r="B44" s="48"/>
      <c r="C44" s="48"/>
      <c r="E44" s="48"/>
      <c r="F44" s="148"/>
      <c r="G44" s="144"/>
      <c r="H44" s="48"/>
      <c r="I44" s="51"/>
      <c r="J44" s="51"/>
      <c r="K44" s="51"/>
      <c r="L44" s="51"/>
      <c r="M44" s="51"/>
      <c r="N44" s="51"/>
      <c r="O44" s="35"/>
      <c r="P44" s="35"/>
      <c r="Q44" s="35"/>
      <c r="R44" s="35"/>
    </row>
    <row r="45" spans="1:18" ht="12">
      <c r="A45" s="35"/>
      <c r="B45" s="48"/>
      <c r="C45" s="48"/>
      <c r="E45" s="48"/>
      <c r="F45" s="148"/>
      <c r="G45" s="144"/>
      <c r="H45" s="48"/>
      <c r="I45" s="51"/>
      <c r="J45" s="51"/>
      <c r="K45" s="51"/>
      <c r="L45" s="51"/>
      <c r="M45" s="51"/>
      <c r="N45" s="51"/>
      <c r="O45" s="35"/>
      <c r="P45" s="35"/>
      <c r="Q45" s="35"/>
      <c r="R45" s="35"/>
    </row>
    <row r="46" spans="1:18" ht="12">
      <c r="A46" s="267" t="s">
        <v>69</v>
      </c>
      <c r="B46" s="275" t="s">
        <v>205</v>
      </c>
      <c r="C46" s="276"/>
      <c r="D46" s="276"/>
      <c r="E46" s="276"/>
      <c r="F46" s="276"/>
      <c r="G46" s="276"/>
      <c r="H46" s="277"/>
      <c r="I46" s="51"/>
      <c r="J46" s="51"/>
      <c r="K46" s="51"/>
      <c r="L46" s="51"/>
      <c r="M46" s="51"/>
      <c r="N46" s="51"/>
      <c r="O46" s="35"/>
      <c r="P46" s="35"/>
      <c r="Q46" s="35"/>
      <c r="R46" s="35"/>
    </row>
    <row r="47" spans="1:18" ht="12">
      <c r="A47" s="268"/>
      <c r="B47" s="49" t="s">
        <v>13</v>
      </c>
      <c r="C47" s="48" t="s">
        <v>14</v>
      </c>
      <c r="D47" s="48" t="s">
        <v>66</v>
      </c>
      <c r="E47" s="48"/>
      <c r="F47" s="48" t="s">
        <v>15</v>
      </c>
      <c r="G47" s="48" t="s">
        <v>80</v>
      </c>
      <c r="H47" s="40" t="s">
        <v>49</v>
      </c>
      <c r="I47" s="51"/>
      <c r="J47" s="149" t="s">
        <v>55</v>
      </c>
      <c r="K47" s="51"/>
      <c r="L47" s="51"/>
      <c r="M47" s="51"/>
      <c r="N47" s="51"/>
      <c r="O47" s="35"/>
      <c r="P47" s="35"/>
      <c r="Q47" s="35"/>
      <c r="R47" s="35"/>
    </row>
    <row r="48" spans="1:18" ht="12">
      <c r="A48" s="190" t="s">
        <v>348</v>
      </c>
      <c r="B48" s="192">
        <v>61</v>
      </c>
      <c r="C48" s="184">
        <v>59</v>
      </c>
      <c r="D48" s="185">
        <f>B48+C48</f>
        <v>120</v>
      </c>
      <c r="E48" s="176"/>
      <c r="F48" s="186">
        <f>ABS(B48-C48)</f>
        <v>2</v>
      </c>
      <c r="G48" s="176"/>
      <c r="H48" s="187"/>
      <c r="I48" s="51"/>
      <c r="J48" s="45" t="s">
        <v>206</v>
      </c>
      <c r="K48" s="51"/>
      <c r="L48" s="51"/>
      <c r="M48" s="51"/>
      <c r="N48" s="51"/>
      <c r="O48" s="35"/>
      <c r="P48" s="35"/>
      <c r="Q48" s="35"/>
      <c r="R48" s="35"/>
    </row>
    <row r="49" spans="1:18" ht="12">
      <c r="A49" s="190" t="s">
        <v>207</v>
      </c>
      <c r="B49" s="192">
        <v>61</v>
      </c>
      <c r="C49" s="184">
        <v>59</v>
      </c>
      <c r="D49" s="185">
        <f>B49+C49</f>
        <v>120</v>
      </c>
      <c r="E49" s="176"/>
      <c r="F49" s="186">
        <f>B49-C49</f>
        <v>2</v>
      </c>
      <c r="G49" s="189">
        <v>0</v>
      </c>
      <c r="H49" s="187" t="s">
        <v>54</v>
      </c>
      <c r="I49" s="51"/>
      <c r="J49" s="52" t="s">
        <v>213</v>
      </c>
      <c r="K49" s="51"/>
      <c r="L49" s="51"/>
      <c r="M49" s="51"/>
      <c r="N49" s="51"/>
      <c r="O49" s="35"/>
      <c r="P49" s="35"/>
      <c r="Q49" s="35"/>
      <c r="R49" s="35"/>
    </row>
    <row r="50" spans="1:18" ht="12">
      <c r="A50" s="39" t="s">
        <v>333</v>
      </c>
      <c r="B50" s="173">
        <v>61</v>
      </c>
      <c r="C50" s="143">
        <v>59</v>
      </c>
      <c r="D50" s="35">
        <f>B50+C50</f>
        <v>120</v>
      </c>
      <c r="E50" s="48"/>
      <c r="F50" s="37">
        <f>B50-C50</f>
        <v>2</v>
      </c>
      <c r="G50" s="144">
        <v>0</v>
      </c>
      <c r="H50" s="153" t="s">
        <v>54</v>
      </c>
      <c r="I50" s="51"/>
      <c r="J50" s="51"/>
      <c r="K50" s="51"/>
      <c r="L50" s="51"/>
      <c r="M50" s="51"/>
      <c r="N50" s="51"/>
      <c r="O50" s="35"/>
      <c r="P50" s="35"/>
      <c r="Q50" s="35"/>
      <c r="R50" s="35"/>
    </row>
    <row r="51" spans="1:18" ht="12">
      <c r="A51" s="172" t="s">
        <v>43</v>
      </c>
      <c r="B51" s="174">
        <v>59</v>
      </c>
      <c r="C51" s="156">
        <v>61</v>
      </c>
      <c r="D51" s="157">
        <f>B51+C51</f>
        <v>120</v>
      </c>
      <c r="E51" s="168"/>
      <c r="F51" s="42">
        <f>B51-C51</f>
        <v>-2</v>
      </c>
      <c r="G51" s="169">
        <f>4*100/120</f>
        <v>3.3333333333333335</v>
      </c>
      <c r="H51" s="170" t="s">
        <v>50</v>
      </c>
      <c r="I51" s="51"/>
      <c r="J51" s="51"/>
      <c r="K51" s="51"/>
      <c r="L51" s="51"/>
      <c r="M51" s="51"/>
      <c r="N51" s="51"/>
      <c r="O51" s="35"/>
      <c r="P51" s="35"/>
      <c r="Q51" s="35"/>
      <c r="R51" s="35"/>
    </row>
    <row r="52" spans="1:18" ht="12">
      <c r="A52" s="191" t="s">
        <v>46</v>
      </c>
      <c r="B52" s="174">
        <f>AVERAGE(B50,B51)</f>
        <v>60</v>
      </c>
      <c r="C52" s="156">
        <f>AVERAGE(C50,C51)</f>
        <v>60</v>
      </c>
      <c r="D52" s="157">
        <f>B52+C52</f>
        <v>120</v>
      </c>
      <c r="E52" s="168"/>
      <c r="F52" s="158">
        <f>AVERAGE(F49,F50,F51)</f>
        <v>0.6666666666666666</v>
      </c>
      <c r="G52" s="188">
        <f>AVERAGE(G49,G50,G51)</f>
        <v>1.1111111111111112</v>
      </c>
      <c r="H52" s="170" t="s">
        <v>50</v>
      </c>
      <c r="I52" s="51"/>
      <c r="J52" s="51"/>
      <c r="K52" s="51"/>
      <c r="L52" s="51"/>
      <c r="M52" s="51"/>
      <c r="N52" s="51"/>
      <c r="O52" s="35"/>
      <c r="P52" s="35"/>
      <c r="Q52" s="35"/>
      <c r="R52" s="35"/>
    </row>
    <row r="53" spans="1:18" ht="12">
      <c r="A53" s="191" t="s">
        <v>88</v>
      </c>
      <c r="B53" s="174"/>
      <c r="C53" s="156"/>
      <c r="D53" s="157"/>
      <c r="E53" s="156">
        <v>3</v>
      </c>
      <c r="F53" s="156"/>
      <c r="G53" s="158">
        <f>E53*G52</f>
        <v>3.3333333333333335</v>
      </c>
      <c r="H53" s="170" t="s">
        <v>50</v>
      </c>
      <c r="I53" s="51"/>
      <c r="J53" s="51"/>
      <c r="K53" s="51"/>
      <c r="L53" s="51"/>
      <c r="M53" s="51"/>
      <c r="N53" s="51"/>
      <c r="O53" s="35"/>
      <c r="P53" s="35"/>
      <c r="Q53" s="35"/>
      <c r="R53" s="35"/>
    </row>
    <row r="54" spans="1:18" ht="12">
      <c r="A54" s="50"/>
      <c r="B54" s="143"/>
      <c r="C54" s="143"/>
      <c r="D54" s="35"/>
      <c r="E54" s="143"/>
      <c r="F54" s="143"/>
      <c r="G54" s="145"/>
      <c r="H54" s="48"/>
      <c r="I54" s="51"/>
      <c r="J54" s="51"/>
      <c r="K54" s="51"/>
      <c r="L54" s="51"/>
      <c r="M54" s="51"/>
      <c r="N54" s="51"/>
      <c r="O54" s="35"/>
      <c r="P54" s="35"/>
      <c r="Q54" s="35"/>
      <c r="R54" s="35"/>
    </row>
    <row r="55" spans="1:18" ht="12">
      <c r="A55" s="50"/>
      <c r="B55" s="143"/>
      <c r="C55" s="143"/>
      <c r="D55" s="35"/>
      <c r="E55" s="143"/>
      <c r="F55" s="143"/>
      <c r="G55" s="145"/>
      <c r="H55" s="48"/>
      <c r="I55" s="51"/>
      <c r="J55" s="51"/>
      <c r="K55" s="51"/>
      <c r="L55" s="51"/>
      <c r="M55" s="51"/>
      <c r="N55" s="51"/>
      <c r="O55" s="35"/>
      <c r="P55" s="35"/>
      <c r="Q55" s="35"/>
      <c r="R55" s="35"/>
    </row>
    <row r="56" spans="1:18" ht="12">
      <c r="A56" s="50"/>
      <c r="B56" s="143"/>
      <c r="C56" s="143"/>
      <c r="D56" s="35"/>
      <c r="E56" s="143"/>
      <c r="F56" s="143"/>
      <c r="G56" s="145"/>
      <c r="H56" s="48"/>
      <c r="I56" s="51"/>
      <c r="J56" s="51"/>
      <c r="K56" s="51"/>
      <c r="L56" s="51"/>
      <c r="M56" s="51"/>
      <c r="N56" s="51"/>
      <c r="O56" s="35"/>
      <c r="P56" s="35"/>
      <c r="Q56" s="35"/>
      <c r="R56" s="35"/>
    </row>
    <row r="58" spans="1:18" ht="12">
      <c r="A58" s="267" t="s">
        <v>82</v>
      </c>
      <c r="B58" s="275" t="s">
        <v>62</v>
      </c>
      <c r="C58" s="276"/>
      <c r="D58" s="276"/>
      <c r="E58" s="276"/>
      <c r="F58" s="276"/>
      <c r="G58" s="276"/>
      <c r="H58" s="277"/>
      <c r="I58" s="51"/>
      <c r="J58" s="51"/>
      <c r="K58" s="51"/>
      <c r="L58" s="51"/>
      <c r="M58" s="51"/>
      <c r="N58" s="51"/>
      <c r="O58" s="35"/>
      <c r="P58" s="35"/>
      <c r="Q58" s="35"/>
      <c r="R58" s="35"/>
    </row>
    <row r="59" spans="1:10" ht="12">
      <c r="A59" s="268"/>
      <c r="B59" s="49" t="s">
        <v>63</v>
      </c>
      <c r="C59" s="48" t="s">
        <v>64</v>
      </c>
      <c r="D59" s="48" t="s">
        <v>66</v>
      </c>
      <c r="E59" s="48" t="s">
        <v>67</v>
      </c>
      <c r="F59" s="48" t="s">
        <v>15</v>
      </c>
      <c r="G59" s="48" t="s">
        <v>87</v>
      </c>
      <c r="H59" s="40" t="s">
        <v>49</v>
      </c>
      <c r="J59" s="149" t="s">
        <v>55</v>
      </c>
    </row>
    <row r="60" spans="1:10" ht="12">
      <c r="A60" s="190" t="s">
        <v>348</v>
      </c>
      <c r="B60" s="190">
        <v>62.39</v>
      </c>
      <c r="C60" s="185">
        <v>37.61</v>
      </c>
      <c r="D60" s="185">
        <f>B60+C60</f>
        <v>100</v>
      </c>
      <c r="E60" s="185"/>
      <c r="F60" s="186">
        <f>ABS(B60-C60)</f>
        <v>24.78</v>
      </c>
      <c r="G60" s="185"/>
      <c r="H60" s="177"/>
      <c r="J60" s="150" t="s">
        <v>153</v>
      </c>
    </row>
    <row r="61" spans="1:10" ht="12">
      <c r="A61" s="190" t="s">
        <v>65</v>
      </c>
      <c r="B61" s="190">
        <v>55</v>
      </c>
      <c r="C61" s="185">
        <v>36</v>
      </c>
      <c r="D61" s="185">
        <f>B61+C61</f>
        <v>91</v>
      </c>
      <c r="E61" s="186">
        <f>D60/D61</f>
        <v>1.098901098901099</v>
      </c>
      <c r="F61" s="186"/>
      <c r="G61" s="185"/>
      <c r="H61" s="177"/>
      <c r="J61" s="150" t="s">
        <v>152</v>
      </c>
    </row>
    <row r="62" spans="1:8" ht="12">
      <c r="A62" s="49" t="s">
        <v>68</v>
      </c>
      <c r="B62" s="36">
        <f>B61*E61</f>
        <v>60.439560439560445</v>
      </c>
      <c r="C62" s="37">
        <f>C61*E61</f>
        <v>39.56043956043956</v>
      </c>
      <c r="D62" s="35"/>
      <c r="E62" s="37"/>
      <c r="F62" s="37">
        <f>ABS(B62-C62)</f>
        <v>20.879120879120883</v>
      </c>
      <c r="G62" s="37">
        <f>ABS(B60-B62)+ABS(C60-C62)</f>
        <v>3.900879120879118</v>
      </c>
      <c r="H62" s="153" t="s">
        <v>51</v>
      </c>
    </row>
    <row r="63" spans="1:10" ht="12">
      <c r="A63" s="39" t="s">
        <v>77</v>
      </c>
      <c r="B63" s="39">
        <v>56</v>
      </c>
      <c r="C63" s="35">
        <v>37</v>
      </c>
      <c r="D63" s="35">
        <f>B63+C63</f>
        <v>93</v>
      </c>
      <c r="E63" s="37">
        <f>D60/D63</f>
        <v>1.075268817204301</v>
      </c>
      <c r="F63" s="37"/>
      <c r="G63" s="35"/>
      <c r="H63" s="40"/>
      <c r="J63" s="150" t="s">
        <v>151</v>
      </c>
    </row>
    <row r="64" spans="1:8" ht="12">
      <c r="A64" s="49" t="s">
        <v>68</v>
      </c>
      <c r="B64" s="36">
        <f>B63*E63</f>
        <v>60.21505376344086</v>
      </c>
      <c r="C64" s="37">
        <f>C63*E63</f>
        <v>39.784946236559136</v>
      </c>
      <c r="D64" s="35"/>
      <c r="E64" s="37"/>
      <c r="F64" s="37">
        <f>ABS(B64-C64)</f>
        <v>20.43010752688172</v>
      </c>
      <c r="G64" s="37">
        <f>ABS(B60-B64)+ABS(C60-C64)</f>
        <v>4.349892473118281</v>
      </c>
      <c r="H64" s="153" t="s">
        <v>51</v>
      </c>
    </row>
    <row r="65" spans="1:10" ht="12">
      <c r="A65" s="39" t="s">
        <v>214</v>
      </c>
      <c r="B65" s="39">
        <v>57</v>
      </c>
      <c r="C65" s="35">
        <v>30</v>
      </c>
      <c r="D65" s="35">
        <f>B65+C65</f>
        <v>87</v>
      </c>
      <c r="E65" s="37">
        <f>D60/D65</f>
        <v>1.1494252873563218</v>
      </c>
      <c r="F65" s="37"/>
      <c r="G65" s="35"/>
      <c r="H65" s="40"/>
      <c r="J65" s="150" t="s">
        <v>215</v>
      </c>
    </row>
    <row r="66" spans="1:8" ht="12">
      <c r="A66" s="49" t="s">
        <v>68</v>
      </c>
      <c r="B66" s="36">
        <f>B65*E65</f>
        <v>65.51724137931033</v>
      </c>
      <c r="C66" s="37">
        <f>C65*E65</f>
        <v>34.48275862068965</v>
      </c>
      <c r="D66" s="35"/>
      <c r="E66" s="37"/>
      <c r="F66" s="37">
        <f>ABS(B66-C66)</f>
        <v>31.034482758620683</v>
      </c>
      <c r="G66" s="37">
        <f>ABS(B60-B66)+ABS(C60-C66)</f>
        <v>6.254482758620682</v>
      </c>
      <c r="H66" s="153" t="s">
        <v>50</v>
      </c>
    </row>
    <row r="67" spans="1:18" ht="12">
      <c r="A67" s="183" t="s">
        <v>46</v>
      </c>
      <c r="B67" s="196">
        <f>AVERAGE(B62,B64,B66)</f>
        <v>62.05728519410388</v>
      </c>
      <c r="C67" s="166">
        <f>AVERAGE(C62,C64,C66)</f>
        <v>37.94271480589612</v>
      </c>
      <c r="D67" s="165"/>
      <c r="E67" s="161"/>
      <c r="F67" s="166">
        <f>AVERAGE(F62,F64,F66)</f>
        <v>24.114570388207763</v>
      </c>
      <c r="G67" s="166">
        <f>AVERAGE(G62,G64,-G66)</f>
        <v>0.665429611792239</v>
      </c>
      <c r="H67" s="180" t="s">
        <v>51</v>
      </c>
      <c r="I67" s="51"/>
      <c r="J67" s="51"/>
      <c r="K67" s="51"/>
      <c r="L67" s="51"/>
      <c r="M67" s="51"/>
      <c r="N67" s="51"/>
      <c r="O67" s="35"/>
      <c r="P67" s="35"/>
      <c r="Q67" s="35"/>
      <c r="R67" s="35"/>
    </row>
    <row r="68" spans="1:18" ht="12">
      <c r="A68" s="194" t="s">
        <v>88</v>
      </c>
      <c r="B68" s="195"/>
      <c r="C68" s="158"/>
      <c r="D68" s="157"/>
      <c r="E68" s="156">
        <v>3</v>
      </c>
      <c r="F68" s="158"/>
      <c r="G68" s="158">
        <f>E68*G67</f>
        <v>1.996288835376717</v>
      </c>
      <c r="H68" s="170" t="s">
        <v>51</v>
      </c>
      <c r="I68" s="51"/>
      <c r="J68" s="51"/>
      <c r="K68" s="51"/>
      <c r="L68" s="51"/>
      <c r="M68" s="51"/>
      <c r="N68" s="51"/>
      <c r="O68" s="35"/>
      <c r="P68" s="35"/>
      <c r="Q68" s="35"/>
      <c r="R68" s="35"/>
    </row>
    <row r="69" spans="1:8" ht="12">
      <c r="A69" s="191" t="s">
        <v>235</v>
      </c>
      <c r="B69" s="172"/>
      <c r="C69" s="157"/>
      <c r="D69" s="157"/>
      <c r="E69" s="157"/>
      <c r="F69" s="157"/>
      <c r="G69" s="42">
        <f>G62+G64+G66</f>
        <v>14.505254352618081</v>
      </c>
      <c r="H69" s="193"/>
    </row>
    <row r="70" spans="1:8" ht="12">
      <c r="A70" s="50"/>
      <c r="B70" s="35"/>
      <c r="C70" s="35"/>
      <c r="D70" s="35"/>
      <c r="E70" s="35"/>
      <c r="F70" s="35"/>
      <c r="G70" s="37"/>
      <c r="H70" s="35"/>
    </row>
    <row r="73" spans="1:8" ht="12">
      <c r="A73" s="267" t="s">
        <v>95</v>
      </c>
      <c r="B73" s="275" t="s">
        <v>70</v>
      </c>
      <c r="C73" s="276"/>
      <c r="D73" s="276"/>
      <c r="E73" s="276"/>
      <c r="F73" s="276"/>
      <c r="G73" s="276"/>
      <c r="H73" s="277"/>
    </row>
    <row r="74" spans="1:10" ht="12">
      <c r="A74" s="268"/>
      <c r="B74" s="49" t="s">
        <v>71</v>
      </c>
      <c r="C74" s="48" t="s">
        <v>64</v>
      </c>
      <c r="D74" s="48" t="s">
        <v>66</v>
      </c>
      <c r="E74" s="48" t="s">
        <v>67</v>
      </c>
      <c r="F74" s="48" t="s">
        <v>15</v>
      </c>
      <c r="G74" s="48" t="s">
        <v>87</v>
      </c>
      <c r="H74" s="40" t="s">
        <v>49</v>
      </c>
      <c r="J74" s="149" t="s">
        <v>55</v>
      </c>
    </row>
    <row r="75" spans="1:10" ht="12">
      <c r="A75" s="190" t="s">
        <v>348</v>
      </c>
      <c r="B75" s="190">
        <v>43.92</v>
      </c>
      <c r="C75" s="185">
        <v>56.08</v>
      </c>
      <c r="D75" s="185">
        <f>B75+C75</f>
        <v>100</v>
      </c>
      <c r="E75" s="185"/>
      <c r="F75" s="186">
        <f>ABS(B75-C75)</f>
        <v>12.159999999999997</v>
      </c>
      <c r="G75" s="185"/>
      <c r="H75" s="177"/>
      <c r="J75" s="150" t="s">
        <v>59</v>
      </c>
    </row>
    <row r="76" spans="1:10" ht="12">
      <c r="A76" s="190" t="s">
        <v>72</v>
      </c>
      <c r="B76" s="190">
        <v>37.4</v>
      </c>
      <c r="C76" s="185">
        <v>54.2</v>
      </c>
      <c r="D76" s="185">
        <f>B76+C76</f>
        <v>91.6</v>
      </c>
      <c r="E76" s="186">
        <f>D75/D76</f>
        <v>1.091703056768559</v>
      </c>
      <c r="F76" s="186"/>
      <c r="G76" s="185"/>
      <c r="H76" s="177"/>
      <c r="J76" s="150" t="s">
        <v>58</v>
      </c>
    </row>
    <row r="77" spans="1:8" ht="12">
      <c r="A77" s="49" t="s">
        <v>68</v>
      </c>
      <c r="B77" s="36">
        <f>B76*E76</f>
        <v>40.82969432314411</v>
      </c>
      <c r="C77" s="37">
        <f>C76*E76</f>
        <v>59.170305676855904</v>
      </c>
      <c r="D77" s="35"/>
      <c r="E77" s="35"/>
      <c r="F77" s="37">
        <f>ABS(B77-C77)</f>
        <v>18.340611353711793</v>
      </c>
      <c r="G77" s="37">
        <f>ABS(B75-B77)+ABS(C75-C77)</f>
        <v>6.180611353711797</v>
      </c>
      <c r="H77" s="153" t="s">
        <v>51</v>
      </c>
    </row>
    <row r="78" spans="1:8" ht="12">
      <c r="A78" s="39" t="s">
        <v>73</v>
      </c>
      <c r="B78" s="39">
        <v>41</v>
      </c>
      <c r="C78" s="35">
        <v>51</v>
      </c>
      <c r="D78" s="35">
        <f>B78+C78</f>
        <v>92</v>
      </c>
      <c r="E78" s="37">
        <f>D75/D78</f>
        <v>1.0869565217391304</v>
      </c>
      <c r="F78" s="37"/>
      <c r="G78" s="35"/>
      <c r="H78" s="40"/>
    </row>
    <row r="79" spans="1:8" ht="12">
      <c r="A79" s="49" t="s">
        <v>68</v>
      </c>
      <c r="B79" s="36">
        <f>B78*E78</f>
        <v>44.565217391304344</v>
      </c>
      <c r="C79" s="37">
        <f>C78*E78</f>
        <v>55.43478260869565</v>
      </c>
      <c r="D79" s="35"/>
      <c r="E79" s="35"/>
      <c r="F79" s="37">
        <f>ABS(B79-C79)</f>
        <v>10.869565217391305</v>
      </c>
      <c r="G79" s="37">
        <f>ABS(B75-B79)+ABS(C75-C79)</f>
        <v>1.290434782608692</v>
      </c>
      <c r="H79" s="153" t="s">
        <v>50</v>
      </c>
    </row>
    <row r="80" spans="1:10" ht="12">
      <c r="A80" s="39" t="s">
        <v>222</v>
      </c>
      <c r="B80" s="39"/>
      <c r="C80" s="35"/>
      <c r="D80" s="35"/>
      <c r="E80" s="37"/>
      <c r="F80" s="37"/>
      <c r="G80" s="35"/>
      <c r="H80" s="40"/>
      <c r="J80" s="150" t="s">
        <v>221</v>
      </c>
    </row>
    <row r="81" spans="1:8" ht="12">
      <c r="A81" s="49" t="s">
        <v>68</v>
      </c>
      <c r="B81" s="197">
        <v>45</v>
      </c>
      <c r="C81" s="144">
        <v>55</v>
      </c>
      <c r="D81" s="35"/>
      <c r="E81" s="35"/>
      <c r="F81" s="37">
        <f>ABS(B81-C81)</f>
        <v>10</v>
      </c>
      <c r="G81" s="37">
        <f>ABS(B75-B81)+ABS(C75-C81)</f>
        <v>2.1599999999999966</v>
      </c>
      <c r="H81" s="153" t="s">
        <v>50</v>
      </c>
    </row>
    <row r="82" spans="1:10" ht="12">
      <c r="A82" s="39" t="s">
        <v>223</v>
      </c>
      <c r="B82" s="39"/>
      <c r="C82" s="35"/>
      <c r="D82" s="35"/>
      <c r="E82" s="37"/>
      <c r="F82" s="37"/>
      <c r="G82" s="35"/>
      <c r="H82" s="40"/>
      <c r="J82" s="150" t="s">
        <v>221</v>
      </c>
    </row>
    <row r="83" spans="1:8" ht="12">
      <c r="A83" s="49" t="s">
        <v>68</v>
      </c>
      <c r="B83" s="197">
        <v>46</v>
      </c>
      <c r="C83" s="144">
        <v>54</v>
      </c>
      <c r="D83" s="35"/>
      <c r="E83" s="35"/>
      <c r="F83" s="37">
        <f>ABS(B83-C83)</f>
        <v>8</v>
      </c>
      <c r="G83" s="37">
        <f>ABS(B75-B83)+ABS(C75-C83)</f>
        <v>4.159999999999997</v>
      </c>
      <c r="H83" s="153" t="s">
        <v>50</v>
      </c>
    </row>
    <row r="84" spans="1:18" ht="12">
      <c r="A84" s="183" t="s">
        <v>46</v>
      </c>
      <c r="B84" s="196">
        <f>AVERAGE(B77,B79,B81)</f>
        <v>43.464970571482816</v>
      </c>
      <c r="C84" s="166">
        <f>AVERAGE(C77,C79,C81)</f>
        <v>56.535029428517184</v>
      </c>
      <c r="D84" s="165"/>
      <c r="E84" s="161"/>
      <c r="F84" s="166">
        <f>AVERAGE(F77,F79,F81)</f>
        <v>13.070058857034367</v>
      </c>
      <c r="G84" s="166">
        <f>AVERAGE(-G77,G79,G81,G83)</f>
        <v>0.35745585722422213</v>
      </c>
      <c r="H84" s="180" t="s">
        <v>50</v>
      </c>
      <c r="I84" s="51"/>
      <c r="J84" s="51"/>
      <c r="K84" s="51"/>
      <c r="L84" s="51"/>
      <c r="M84" s="51"/>
      <c r="N84" s="51"/>
      <c r="O84" s="35"/>
      <c r="P84" s="35"/>
      <c r="Q84" s="35"/>
      <c r="R84" s="35"/>
    </row>
    <row r="85" spans="1:8" ht="12">
      <c r="A85" s="194" t="s">
        <v>88</v>
      </c>
      <c r="B85" s="172"/>
      <c r="C85" s="157"/>
      <c r="D85" s="157"/>
      <c r="E85" s="157">
        <v>4</v>
      </c>
      <c r="F85" s="157"/>
      <c r="G85" s="158">
        <f>E85*G84</f>
        <v>1.4298234288968885</v>
      </c>
      <c r="H85" s="159" t="s">
        <v>50</v>
      </c>
    </row>
    <row r="86" spans="1:8" ht="12">
      <c r="A86" s="191" t="s">
        <v>235</v>
      </c>
      <c r="B86" s="172"/>
      <c r="C86" s="157"/>
      <c r="D86" s="157"/>
      <c r="E86" s="157"/>
      <c r="F86" s="157"/>
      <c r="G86" s="42">
        <f>G77+G79+G81+G83</f>
        <v>13.791046136320482</v>
      </c>
      <c r="H86" s="193"/>
    </row>
    <row r="87" spans="1:8" ht="12">
      <c r="A87" s="50"/>
      <c r="B87" s="35"/>
      <c r="C87" s="35"/>
      <c r="D87" s="35"/>
      <c r="E87" s="35"/>
      <c r="F87" s="35"/>
      <c r="G87" s="37"/>
      <c r="H87" s="35"/>
    </row>
    <row r="90" spans="1:8" ht="12">
      <c r="A90" s="267" t="s">
        <v>250</v>
      </c>
      <c r="B90" s="275" t="s">
        <v>75</v>
      </c>
      <c r="C90" s="276"/>
      <c r="D90" s="276"/>
      <c r="E90" s="276"/>
      <c r="F90" s="276"/>
      <c r="G90" s="276"/>
      <c r="H90" s="277"/>
    </row>
    <row r="91" spans="1:10" ht="12">
      <c r="A91" s="268"/>
      <c r="B91" s="171" t="s">
        <v>71</v>
      </c>
      <c r="C91" s="176" t="s">
        <v>76</v>
      </c>
      <c r="D91" s="176" t="s">
        <v>66</v>
      </c>
      <c r="E91" s="176" t="s">
        <v>67</v>
      </c>
      <c r="F91" s="176" t="s">
        <v>15</v>
      </c>
      <c r="G91" s="176" t="s">
        <v>87</v>
      </c>
      <c r="H91" s="177" t="s">
        <v>49</v>
      </c>
      <c r="J91" s="149" t="s">
        <v>55</v>
      </c>
    </row>
    <row r="92" spans="1:10" ht="12.75">
      <c r="A92" s="190" t="s">
        <v>348</v>
      </c>
      <c r="B92" s="182">
        <v>50.5</v>
      </c>
      <c r="C92" s="165">
        <v>49.5</v>
      </c>
      <c r="D92" s="165">
        <f>B92+C92</f>
        <v>100</v>
      </c>
      <c r="E92" s="165"/>
      <c r="F92" s="179">
        <f>B92-C92</f>
        <v>1</v>
      </c>
      <c r="G92" s="165"/>
      <c r="H92" s="162"/>
      <c r="J92" s="6" t="s">
        <v>165</v>
      </c>
    </row>
    <row r="93" spans="1:10" ht="12">
      <c r="A93" s="190" t="s">
        <v>212</v>
      </c>
      <c r="B93" s="39">
        <v>48.5</v>
      </c>
      <c r="C93" s="35">
        <v>51.5</v>
      </c>
      <c r="D93" s="35">
        <f>B93+C93</f>
        <v>100</v>
      </c>
      <c r="E93" s="37">
        <f>D92/D93</f>
        <v>1</v>
      </c>
      <c r="F93" s="37"/>
      <c r="G93" s="35"/>
      <c r="H93" s="40"/>
      <c r="J93" s="150" t="s">
        <v>211</v>
      </c>
    </row>
    <row r="94" spans="1:8" ht="12">
      <c r="A94" s="49" t="s">
        <v>68</v>
      </c>
      <c r="B94" s="36">
        <f>B93*E93</f>
        <v>48.5</v>
      </c>
      <c r="C94" s="37">
        <f>C93*E93</f>
        <v>51.5</v>
      </c>
      <c r="D94" s="35"/>
      <c r="E94" s="35"/>
      <c r="F94" s="37">
        <f>B94-C94</f>
        <v>-3</v>
      </c>
      <c r="G94" s="37">
        <f>ABS(B92-B94)+ABS(C92-C94)</f>
        <v>4</v>
      </c>
      <c r="H94" s="153" t="s">
        <v>51</v>
      </c>
    </row>
    <row r="95" spans="1:10" ht="12">
      <c r="A95" s="39" t="s">
        <v>334</v>
      </c>
      <c r="B95" s="39">
        <v>48.5</v>
      </c>
      <c r="C95" s="35">
        <v>51.5</v>
      </c>
      <c r="D95" s="35">
        <f>B95+C95</f>
        <v>100</v>
      </c>
      <c r="E95" s="37">
        <f>D92/D95</f>
        <v>1</v>
      </c>
      <c r="F95" s="37"/>
      <c r="G95" s="35"/>
      <c r="H95" s="40"/>
      <c r="J95" s="150" t="s">
        <v>211</v>
      </c>
    </row>
    <row r="96" spans="1:8" ht="12">
      <c r="A96" s="49" t="s">
        <v>68</v>
      </c>
      <c r="B96" s="36">
        <f>B95*E95</f>
        <v>48.5</v>
      </c>
      <c r="C96" s="37">
        <f>C95*E95</f>
        <v>51.5</v>
      </c>
      <c r="D96" s="35"/>
      <c r="E96" s="35"/>
      <c r="F96" s="37">
        <f>B96-C96</f>
        <v>-3</v>
      </c>
      <c r="G96" s="37">
        <f>ABS(B92-B96)+ABS(C92-C96)</f>
        <v>4</v>
      </c>
      <c r="H96" s="153" t="s">
        <v>51</v>
      </c>
    </row>
    <row r="97" spans="1:10" ht="12.75">
      <c r="A97" s="39" t="s">
        <v>201</v>
      </c>
      <c r="B97" s="39">
        <v>40</v>
      </c>
      <c r="C97" s="35">
        <v>47</v>
      </c>
      <c r="D97" s="35">
        <f>B97+C97</f>
        <v>87</v>
      </c>
      <c r="E97" s="37">
        <f>D92/D97</f>
        <v>1.1494252873563218</v>
      </c>
      <c r="F97" s="37"/>
      <c r="G97" s="35"/>
      <c r="H97" s="40"/>
      <c r="J97" s="6" t="s">
        <v>200</v>
      </c>
    </row>
    <row r="98" spans="1:10" ht="12">
      <c r="A98" s="49" t="s">
        <v>68</v>
      </c>
      <c r="B98" s="36">
        <f>B97*E97</f>
        <v>45.97701149425287</v>
      </c>
      <c r="C98" s="37">
        <f>C97*E97</f>
        <v>54.02298850574712</v>
      </c>
      <c r="D98" s="35"/>
      <c r="E98" s="35"/>
      <c r="F98" s="37">
        <f>B98-C98</f>
        <v>-8.045977011494251</v>
      </c>
      <c r="G98" s="37">
        <f>ABS(B92-B98)+ABS(C92-C98)</f>
        <v>9.045977011494251</v>
      </c>
      <c r="H98" s="153" t="s">
        <v>51</v>
      </c>
      <c r="J98" s="150"/>
    </row>
    <row r="99" spans="1:10" ht="12">
      <c r="A99" s="39" t="s">
        <v>202</v>
      </c>
      <c r="B99" s="39"/>
      <c r="C99" s="35"/>
      <c r="D99" s="35"/>
      <c r="E99" s="37"/>
      <c r="F99" s="37"/>
      <c r="G99" s="35"/>
      <c r="H99" s="40"/>
      <c r="J99" s="150" t="s">
        <v>199</v>
      </c>
    </row>
    <row r="100" spans="1:8" ht="12">
      <c r="A100" s="49" t="s">
        <v>68</v>
      </c>
      <c r="B100" s="39">
        <v>44.7</v>
      </c>
      <c r="C100" s="35">
        <v>55.3</v>
      </c>
      <c r="D100" s="35"/>
      <c r="E100" s="35"/>
      <c r="F100" s="37">
        <f>B100-C100</f>
        <v>-10.599999999999994</v>
      </c>
      <c r="G100" s="37">
        <f>ABS(B92-B100)+ABS(C92-C100)</f>
        <v>11.599999999999994</v>
      </c>
      <c r="H100" s="153" t="s">
        <v>51</v>
      </c>
    </row>
    <row r="101" spans="1:10" ht="12">
      <c r="A101" s="39" t="s">
        <v>203</v>
      </c>
      <c r="B101" s="39"/>
      <c r="C101" s="35"/>
      <c r="D101" s="35"/>
      <c r="E101" s="37"/>
      <c r="F101" s="37"/>
      <c r="G101" s="35"/>
      <c r="H101" s="40"/>
      <c r="J101" s="150" t="s">
        <v>199</v>
      </c>
    </row>
    <row r="102" spans="1:8" ht="12">
      <c r="A102" s="49" t="s">
        <v>68</v>
      </c>
      <c r="B102" s="39">
        <v>48</v>
      </c>
      <c r="C102" s="35">
        <v>52</v>
      </c>
      <c r="D102" s="35"/>
      <c r="E102" s="35"/>
      <c r="F102" s="37">
        <f>B102-C102</f>
        <v>-4</v>
      </c>
      <c r="G102" s="37">
        <f>ABS(B92-B102)+ABS(C92-C102)</f>
        <v>5</v>
      </c>
      <c r="H102" s="153" t="s">
        <v>51</v>
      </c>
    </row>
    <row r="103" spans="1:10" ht="12">
      <c r="A103" s="39" t="s">
        <v>225</v>
      </c>
      <c r="B103" s="39">
        <v>47</v>
      </c>
      <c r="C103" s="35">
        <v>50</v>
      </c>
      <c r="D103" s="35">
        <f>B103+C103</f>
        <v>97</v>
      </c>
      <c r="E103" s="37">
        <f>D92/D103</f>
        <v>1.0309278350515463</v>
      </c>
      <c r="F103" s="37"/>
      <c r="G103" s="35"/>
      <c r="H103" s="40"/>
      <c r="J103" s="150" t="s">
        <v>226</v>
      </c>
    </row>
    <row r="104" spans="1:8" ht="12">
      <c r="A104" s="49" t="s">
        <v>68</v>
      </c>
      <c r="B104" s="41">
        <f>B103*E103</f>
        <v>48.45360824742268</v>
      </c>
      <c r="C104" s="42">
        <f>C103*E103</f>
        <v>51.546391752577314</v>
      </c>
      <c r="D104" s="157"/>
      <c r="E104" s="157"/>
      <c r="F104" s="42">
        <f>B104-C104</f>
        <v>-3.0927835051546353</v>
      </c>
      <c r="G104" s="42">
        <f>ABS(B92-B104)+ABS(C92-C104)</f>
        <v>4.092783505154635</v>
      </c>
      <c r="H104" s="170" t="s">
        <v>51</v>
      </c>
    </row>
    <row r="105" spans="1:18" ht="12">
      <c r="A105" s="163" t="s">
        <v>46</v>
      </c>
      <c r="B105" s="158">
        <f>AVERAGE(B94,B96,B98,B100,B102)</f>
        <v>47.13540229885058</v>
      </c>
      <c r="C105" s="158">
        <f>AVERAGE(C94,C96,C98,C100,C102)</f>
        <v>52.86459770114942</v>
      </c>
      <c r="D105" s="157"/>
      <c r="E105" s="168"/>
      <c r="F105" s="158">
        <f>AVERAGE(F94,F96,F98,F100,F102,F104)</f>
        <v>-5.28979341944148</v>
      </c>
      <c r="G105" s="158">
        <f>AVERAGE(G94,G96,G98,G100,G102,G104)</f>
        <v>6.28979341944148</v>
      </c>
      <c r="H105" s="170" t="s">
        <v>51</v>
      </c>
      <c r="I105" s="51"/>
      <c r="J105" s="51"/>
      <c r="K105" s="51"/>
      <c r="L105" s="51"/>
      <c r="M105" s="51"/>
      <c r="N105" s="51"/>
      <c r="O105" s="35"/>
      <c r="P105" s="35"/>
      <c r="Q105" s="35"/>
      <c r="R105" s="35"/>
    </row>
    <row r="106" spans="1:10" ht="12">
      <c r="A106" s="155" t="s">
        <v>88</v>
      </c>
      <c r="B106" s="157"/>
      <c r="C106" s="157"/>
      <c r="D106" s="157"/>
      <c r="E106" s="157">
        <v>6</v>
      </c>
      <c r="F106" s="157"/>
      <c r="G106" s="158">
        <f>E106*G105</f>
        <v>37.73876051664888</v>
      </c>
      <c r="H106" s="170" t="s">
        <v>51</v>
      </c>
      <c r="J106" s="34" t="s">
        <v>210</v>
      </c>
    </row>
    <row r="107" ht="12">
      <c r="J107" s="150" t="s">
        <v>204</v>
      </c>
    </row>
    <row r="108" ht="12">
      <c r="J108" s="150" t="s">
        <v>164</v>
      </c>
    </row>
    <row r="109" ht="12">
      <c r="J109" s="150" t="s">
        <v>166</v>
      </c>
    </row>
    <row r="110" ht="12">
      <c r="J110" s="150" t="s">
        <v>58</v>
      </c>
    </row>
    <row r="111" ht="12">
      <c r="J111" s="150"/>
    </row>
    <row r="112" ht="12">
      <c r="J112" s="150"/>
    </row>
    <row r="113" spans="1:7" ht="12">
      <c r="A113" s="204" t="s">
        <v>307</v>
      </c>
      <c r="B113" s="205" t="s">
        <v>92</v>
      </c>
      <c r="C113" s="199" t="s">
        <v>99</v>
      </c>
      <c r="D113" s="200" t="s">
        <v>354</v>
      </c>
      <c r="E113" s="199" t="s">
        <v>99</v>
      </c>
      <c r="F113" s="199" t="s">
        <v>46</v>
      </c>
      <c r="G113" s="201" t="s">
        <v>93</v>
      </c>
    </row>
    <row r="114" spans="1:7" ht="12">
      <c r="A114" s="190" t="s">
        <v>94</v>
      </c>
      <c r="B114" s="190">
        <f>E12+E26+E36+E53+E68+E85+E106</f>
        <v>31</v>
      </c>
      <c r="C114" s="202">
        <v>1</v>
      </c>
      <c r="D114" s="189">
        <f>G12+G26+G36+G53+(G69)+(G86)+G106</f>
        <v>142.6683943389208</v>
      </c>
      <c r="E114" s="202">
        <v>1</v>
      </c>
      <c r="F114" s="189">
        <f>D114/B114</f>
        <v>4.602206268997445</v>
      </c>
      <c r="G114" s="187"/>
    </row>
    <row r="115" spans="1:7" ht="12">
      <c r="A115" s="39" t="s">
        <v>90</v>
      </c>
      <c r="B115" s="39">
        <v>17</v>
      </c>
      <c r="C115" s="43">
        <f>B115/B114</f>
        <v>0.5483870967741935</v>
      </c>
      <c r="D115" s="144">
        <f>G26+G36+(G62+G64)+G77+G106</f>
        <v>107.57014346435808</v>
      </c>
      <c r="E115" s="43">
        <f>D115/D114</f>
        <v>0.753987202020485</v>
      </c>
      <c r="F115" s="144">
        <f>D115/B115</f>
        <v>6.327655497903416</v>
      </c>
      <c r="G115" s="153" t="s">
        <v>51</v>
      </c>
    </row>
    <row r="116" spans="1:7" ht="12">
      <c r="A116" s="172" t="s">
        <v>91</v>
      </c>
      <c r="B116" s="172">
        <v>10</v>
      </c>
      <c r="C116" s="203">
        <f>B116/B114</f>
        <v>0.3225806451612903</v>
      </c>
      <c r="D116" s="169">
        <f>G12+G53+G66+(G79+G81+G83)</f>
        <v>35.098250874562694</v>
      </c>
      <c r="E116" s="203">
        <f>D116/D114</f>
        <v>0.24601279797951495</v>
      </c>
      <c r="F116" s="169">
        <f>D116/B116</f>
        <v>3.5098250874562695</v>
      </c>
      <c r="G116" s="170" t="s">
        <v>50</v>
      </c>
    </row>
    <row r="117" spans="1:7" ht="12">
      <c r="A117" s="191" t="s">
        <v>208</v>
      </c>
      <c r="B117" s="172"/>
      <c r="C117" s="157"/>
      <c r="D117" s="169">
        <f>D115-D116</f>
        <v>72.47189258979539</v>
      </c>
      <c r="E117" s="157"/>
      <c r="F117" s="169">
        <f>D117/B114</f>
        <v>2.3378029867675933</v>
      </c>
      <c r="G117" s="159" t="s">
        <v>51</v>
      </c>
    </row>
    <row r="118" ht="12">
      <c r="A118" s="50"/>
    </row>
    <row r="120" spans="1:7" ht="12">
      <c r="A120" s="204" t="s">
        <v>231</v>
      </c>
      <c r="B120" s="205" t="s">
        <v>92</v>
      </c>
      <c r="C120" s="199" t="s">
        <v>99</v>
      </c>
      <c r="D120" s="200" t="s">
        <v>354</v>
      </c>
      <c r="E120" s="199" t="s">
        <v>99</v>
      </c>
      <c r="F120" s="199" t="s">
        <v>46</v>
      </c>
      <c r="G120" s="201" t="s">
        <v>93</v>
      </c>
    </row>
    <row r="121" spans="1:7" ht="12">
      <c r="A121" s="190" t="s">
        <v>94</v>
      </c>
      <c r="B121" s="190">
        <f>E12+E26+E36+E53</f>
        <v>18</v>
      </c>
      <c r="C121" s="202">
        <v>1</v>
      </c>
      <c r="D121" s="189">
        <f>G12+G26+G36+G53</f>
        <v>76.63333333333334</v>
      </c>
      <c r="E121" s="202">
        <v>1</v>
      </c>
      <c r="F121" s="189">
        <f>D121/B121</f>
        <v>4.257407407407408</v>
      </c>
      <c r="G121" s="187"/>
    </row>
    <row r="122" spans="1:7" ht="12">
      <c r="A122" s="39" t="s">
        <v>90</v>
      </c>
      <c r="B122" s="39">
        <v>8</v>
      </c>
      <c r="C122" s="43">
        <f>B122/B121</f>
        <v>0.4444444444444444</v>
      </c>
      <c r="D122" s="144">
        <f>G26+G36</f>
        <v>55.400000000000006</v>
      </c>
      <c r="E122" s="43">
        <f>D122/D121</f>
        <v>0.7229230100043498</v>
      </c>
      <c r="F122" s="144">
        <f>D122/B122</f>
        <v>6.925000000000001</v>
      </c>
      <c r="G122" s="153" t="s">
        <v>51</v>
      </c>
    </row>
    <row r="123" spans="1:7" ht="12">
      <c r="A123" s="172" t="s">
        <v>91</v>
      </c>
      <c r="B123" s="172">
        <v>6</v>
      </c>
      <c r="C123" s="203">
        <f>B123/B121</f>
        <v>0.3333333333333333</v>
      </c>
      <c r="D123" s="169">
        <f>G12+G53</f>
        <v>21.23333333333333</v>
      </c>
      <c r="E123" s="203">
        <f>D123/D121</f>
        <v>0.2770769899956502</v>
      </c>
      <c r="F123" s="169">
        <f>D123/B123</f>
        <v>3.5388888888888883</v>
      </c>
      <c r="G123" s="170" t="s">
        <v>50</v>
      </c>
    </row>
    <row r="124" spans="1:7" ht="12">
      <c r="A124" s="191" t="s">
        <v>208</v>
      </c>
      <c r="B124" s="172"/>
      <c r="C124" s="157"/>
      <c r="D124" s="169">
        <f>D122-D123</f>
        <v>34.16666666666667</v>
      </c>
      <c r="E124" s="157"/>
      <c r="F124" s="169">
        <f>D124/B121</f>
        <v>1.8981481481481484</v>
      </c>
      <c r="G124" s="159" t="s">
        <v>51</v>
      </c>
    </row>
    <row r="127" spans="1:7" ht="12">
      <c r="A127" s="204" t="s">
        <v>308</v>
      </c>
      <c r="B127" s="205" t="s">
        <v>92</v>
      </c>
      <c r="C127" s="199" t="s">
        <v>99</v>
      </c>
      <c r="D127" s="200" t="s">
        <v>354</v>
      </c>
      <c r="E127" s="199" t="s">
        <v>99</v>
      </c>
      <c r="F127" s="199" t="s">
        <v>46</v>
      </c>
      <c r="G127" s="201" t="s">
        <v>93</v>
      </c>
    </row>
    <row r="128" spans="1:7" ht="12">
      <c r="A128" s="190" t="s">
        <v>94</v>
      </c>
      <c r="B128" s="190">
        <f>E68+E85+E106</f>
        <v>13</v>
      </c>
      <c r="C128" s="202">
        <v>1</v>
      </c>
      <c r="D128" s="189">
        <f>(G62+G64+G66)+(G77+G79+G81+G83)+G106</f>
        <v>66.03506100558744</v>
      </c>
      <c r="E128" s="202">
        <v>1</v>
      </c>
      <c r="F128" s="189">
        <f>D128/B128</f>
        <v>5.07962007735288</v>
      </c>
      <c r="G128" s="187"/>
    </row>
    <row r="129" spans="1:7" ht="12">
      <c r="A129" s="39" t="s">
        <v>90</v>
      </c>
      <c r="B129" s="39">
        <v>9</v>
      </c>
      <c r="C129" s="43">
        <f>B129/B128</f>
        <v>0.6923076923076923</v>
      </c>
      <c r="D129" s="144">
        <f>(G62+G64)+G77+G106</f>
        <v>52.17014346435808</v>
      </c>
      <c r="E129" s="43">
        <f>D129/D128</f>
        <v>0.7900370298733244</v>
      </c>
      <c r="F129" s="144">
        <f>D129/B129</f>
        <v>5.796682607150897</v>
      </c>
      <c r="G129" s="153" t="s">
        <v>51</v>
      </c>
    </row>
    <row r="130" spans="1:7" ht="12">
      <c r="A130" s="172" t="s">
        <v>91</v>
      </c>
      <c r="B130" s="172">
        <v>4</v>
      </c>
      <c r="C130" s="203">
        <f>B130/B128</f>
        <v>0.3076923076923077</v>
      </c>
      <c r="D130" s="169">
        <f>G66+(G79+G81+G83)</f>
        <v>13.864917541229367</v>
      </c>
      <c r="E130" s="203">
        <f>D130/D128</f>
        <v>0.20996297012667578</v>
      </c>
      <c r="F130" s="169">
        <f>D130/B130</f>
        <v>3.466229385307342</v>
      </c>
      <c r="G130" s="170" t="s">
        <v>50</v>
      </c>
    </row>
    <row r="131" spans="1:7" ht="12">
      <c r="A131" s="191" t="s">
        <v>208</v>
      </c>
      <c r="B131" s="172"/>
      <c r="C131" s="157"/>
      <c r="D131" s="169">
        <f>D129-D130</f>
        <v>38.30522592312871</v>
      </c>
      <c r="E131" s="157"/>
      <c r="F131" s="169">
        <f>D131/B128</f>
        <v>2.94655584024067</v>
      </c>
      <c r="G131" s="159" t="s">
        <v>51</v>
      </c>
    </row>
    <row r="134" spans="1:7" ht="12">
      <c r="A134" s="204" t="s">
        <v>309</v>
      </c>
      <c r="B134" s="205" t="s">
        <v>92</v>
      </c>
      <c r="C134" s="199" t="s">
        <v>99</v>
      </c>
      <c r="D134" s="200" t="s">
        <v>354</v>
      </c>
      <c r="E134" s="199" t="s">
        <v>99</v>
      </c>
      <c r="F134" s="199" t="s">
        <v>46</v>
      </c>
      <c r="G134" s="201" t="s">
        <v>93</v>
      </c>
    </row>
    <row r="135" spans="1:7" ht="12">
      <c r="A135" s="190" t="s">
        <v>94</v>
      </c>
      <c r="B135" s="190">
        <f>E36+E53+E106</f>
        <v>11</v>
      </c>
      <c r="C135" s="202">
        <v>1</v>
      </c>
      <c r="D135" s="189">
        <f>G36+G53+G106</f>
        <v>57.27209384998221</v>
      </c>
      <c r="E135" s="202">
        <v>1</v>
      </c>
      <c r="F135" s="189">
        <f>D135/B135</f>
        <v>5.206553986362019</v>
      </c>
      <c r="G135" s="187"/>
    </row>
    <row r="136" spans="1:7" ht="12">
      <c r="A136" s="39" t="s">
        <v>90</v>
      </c>
      <c r="B136" s="39">
        <v>8</v>
      </c>
      <c r="C136" s="43">
        <f>B136/B135</f>
        <v>0.7272727272727273</v>
      </c>
      <c r="D136" s="144">
        <f>G36+G106</f>
        <v>53.938760516648884</v>
      </c>
      <c r="E136" s="43">
        <f>D136/D135</f>
        <v>0.9417982981019584</v>
      </c>
      <c r="F136" s="144">
        <f>D136/B136</f>
        <v>6.7423450645811105</v>
      </c>
      <c r="G136" s="153" t="s">
        <v>51</v>
      </c>
    </row>
    <row r="137" spans="1:7" ht="12">
      <c r="A137" s="172" t="s">
        <v>91</v>
      </c>
      <c r="B137" s="172">
        <v>1</v>
      </c>
      <c r="C137" s="203">
        <f>B137/B135</f>
        <v>0.09090909090909091</v>
      </c>
      <c r="D137" s="169">
        <f>G53</f>
        <v>3.3333333333333335</v>
      </c>
      <c r="E137" s="203">
        <f>D137/D135</f>
        <v>0.058201701898041726</v>
      </c>
      <c r="F137" s="169">
        <f>D137/B137</f>
        <v>3.3333333333333335</v>
      </c>
      <c r="G137" s="170" t="s">
        <v>50</v>
      </c>
    </row>
    <row r="138" spans="1:7" ht="12">
      <c r="A138" s="191" t="s">
        <v>208</v>
      </c>
      <c r="B138" s="172"/>
      <c r="C138" s="157"/>
      <c r="D138" s="169">
        <f>D136-D137</f>
        <v>50.60542718331555</v>
      </c>
      <c r="E138" s="157"/>
      <c r="F138" s="169">
        <f>D138/B135</f>
        <v>4.600493380301414</v>
      </c>
      <c r="G138" s="159" t="s">
        <v>51</v>
      </c>
    </row>
  </sheetData>
  <sheetProtection/>
  <mergeCells count="16">
    <mergeCell ref="A73:A74"/>
    <mergeCell ref="A90:A91"/>
    <mergeCell ref="A1:A2"/>
    <mergeCell ref="A16:A17"/>
    <mergeCell ref="A30:A31"/>
    <mergeCell ref="A58:A59"/>
    <mergeCell ref="A46:A47"/>
    <mergeCell ref="A40:A41"/>
    <mergeCell ref="B73:H73"/>
    <mergeCell ref="B58:H58"/>
    <mergeCell ref="B90:H90"/>
    <mergeCell ref="B1:H1"/>
    <mergeCell ref="B16:H16"/>
    <mergeCell ref="B30:H30"/>
    <mergeCell ref="B46:H46"/>
    <mergeCell ref="B40:H40"/>
  </mergeCells>
  <hyperlinks>
    <hyperlink ref="J63" r:id="rId1" display="http://imra.org.il/story.php3?id=5378"/>
    <hyperlink ref="J92" r:id="rId2" display="http://www.knesset.gov.il/description/heb/heb_mimshal_res14.htm"/>
    <hyperlink ref="J76" r:id="rId3" display="http://imra.org.il/story.php3?id=2704"/>
    <hyperlink ref="J75" r:id="rId4" display="http://www.knesset.gov.il/elections/asp/results.asp"/>
    <hyperlink ref="J60" r:id="rId5" display="http://www.knesset.gov.il/elections01/results.htm"/>
    <hyperlink ref="J61" r:id="rId6" display="http://imra.org.il/story.php3?id=5373"/>
    <hyperlink ref="J48" r:id="rId7" display="http://knesset.gov.il/description/heb/heb_mimshal_res13.htm"/>
    <hyperlink ref="J49"/>
    <hyperlink ref="J65" r:id="rId8" display="http://www.highbeam.com/doc/1P1-41203535.html"/>
    <hyperlink ref="J80" r:id="rId9" display="http://seacoastauction.com/1999news/5_17_w2.htm"/>
    <hyperlink ref="J82" r:id="rId10" display="http://seacoastauction.com/1999news/5_17_w2.htm"/>
    <hyperlink ref="J103" r:id="rId11" display="http://query.nytimes.com/gst/fullpage.html?res=9F0DE4D61139F93BA15756C0A960958260&amp;sec=&amp;spon=&amp;pagewanted=all"/>
    <hyperlink ref="J42" r:id="rId12" display="http://www.knesset.gov.il/description/heb/heb_mimshal_res14.htm"/>
    <hyperlink ref="J97" r:id="rId13" display="www.nrg.co.il/online/1/ART1/063/202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9"/>
  <sheetViews>
    <sheetView zoomScalePageLayoutView="0" workbookViewId="0" topLeftCell="A158">
      <selection activeCell="A183" sqref="A183"/>
    </sheetView>
  </sheetViews>
  <sheetFormatPr defaultColWidth="9.140625" defaultRowHeight="12.75"/>
  <cols>
    <col min="1" max="1" width="37.421875" style="34" customWidth="1"/>
    <col min="2" max="2" width="8.7109375" style="34" customWidth="1"/>
    <col min="3" max="3" width="9.140625" style="34" customWidth="1"/>
    <col min="4" max="4" width="10.00390625" style="34" customWidth="1"/>
    <col min="5" max="5" width="7.57421875" style="34" customWidth="1"/>
    <col min="6" max="6" width="8.00390625" style="34" customWidth="1"/>
    <col min="7" max="7" width="4.7109375" style="34" customWidth="1"/>
    <col min="8" max="8" width="4.28125" style="34" customWidth="1"/>
    <col min="9" max="9" width="8.8515625" style="34" customWidth="1"/>
    <col min="10" max="10" width="7.421875" style="34" customWidth="1"/>
    <col min="11" max="11" width="2.7109375" style="34" customWidth="1"/>
    <col min="12" max="12" width="7.7109375" style="34" customWidth="1"/>
    <col min="13" max="13" width="6.57421875" style="34" customWidth="1"/>
    <col min="14" max="15" width="2.421875" style="34" customWidth="1"/>
    <col min="16" max="16" width="46.7109375" style="34" customWidth="1"/>
    <col min="17" max="16384" width="9.140625" style="34" customWidth="1"/>
  </cols>
  <sheetData>
    <row r="1" spans="1:14" s="35" customFormat="1" ht="12">
      <c r="A1" s="269" t="s">
        <v>106</v>
      </c>
      <c r="B1" s="276" t="s">
        <v>374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7"/>
    </row>
    <row r="2" spans="1:16" s="35" customFormat="1" ht="12">
      <c r="A2" s="307"/>
      <c r="B2" s="48" t="s">
        <v>83</v>
      </c>
      <c r="C2" s="48" t="s">
        <v>84</v>
      </c>
      <c r="D2" s="48" t="s">
        <v>85</v>
      </c>
      <c r="E2" s="48" t="s">
        <v>86</v>
      </c>
      <c r="F2" s="48"/>
      <c r="G2" s="48" t="s">
        <v>66</v>
      </c>
      <c r="H2" s="48" t="s">
        <v>67</v>
      </c>
      <c r="I2" s="171" t="s">
        <v>26</v>
      </c>
      <c r="J2" s="312" t="s">
        <v>49</v>
      </c>
      <c r="K2" s="313"/>
      <c r="L2" s="48" t="s">
        <v>104</v>
      </c>
      <c r="M2" s="308" t="s">
        <v>326</v>
      </c>
      <c r="N2" s="309"/>
      <c r="P2" s="149" t="s">
        <v>55</v>
      </c>
    </row>
    <row r="3" spans="1:16" s="35" customFormat="1" ht="12">
      <c r="A3" s="181" t="s">
        <v>348</v>
      </c>
      <c r="B3" s="165">
        <v>43.1</v>
      </c>
      <c r="C3" s="165">
        <v>42</v>
      </c>
      <c r="D3" s="165">
        <v>8.4</v>
      </c>
      <c r="E3" s="211">
        <v>6.5</v>
      </c>
      <c r="F3" s="211"/>
      <c r="G3" s="165">
        <f>B3+C3+D3+E3</f>
        <v>100</v>
      </c>
      <c r="H3" s="165"/>
      <c r="I3" s="182"/>
      <c r="J3" s="165"/>
      <c r="K3" s="162"/>
      <c r="L3" s="179">
        <f>ABS(B3-C3)</f>
        <v>1.1000000000000014</v>
      </c>
      <c r="M3" s="165"/>
      <c r="N3" s="162"/>
      <c r="P3" s="45" t="s">
        <v>150</v>
      </c>
    </row>
    <row r="4" spans="1:16" ht="12">
      <c r="A4" s="152" t="s">
        <v>111</v>
      </c>
      <c r="B4" s="35">
        <v>47</v>
      </c>
      <c r="C4" s="35">
        <v>28</v>
      </c>
      <c r="D4" s="35">
        <v>6</v>
      </c>
      <c r="E4" s="50">
        <v>6</v>
      </c>
      <c r="F4" s="50"/>
      <c r="G4" s="35">
        <f>B4+C4+D4+E4</f>
        <v>87</v>
      </c>
      <c r="H4" s="37">
        <f>G3/G4</f>
        <v>1.1494252873563218</v>
      </c>
      <c r="I4" s="36"/>
      <c r="J4" s="35"/>
      <c r="K4" s="40"/>
      <c r="L4" s="37"/>
      <c r="M4" s="35"/>
      <c r="N4" s="40"/>
      <c r="P4" s="150" t="s">
        <v>146</v>
      </c>
    </row>
    <row r="5" spans="1:14" ht="12">
      <c r="A5" s="154" t="s">
        <v>68</v>
      </c>
      <c r="B5" s="37">
        <f>B4*H4</f>
        <v>54.02298850574712</v>
      </c>
      <c r="C5" s="37">
        <f>C4*H4</f>
        <v>32.183908045977006</v>
      </c>
      <c r="D5" s="37">
        <f>D4*H4</f>
        <v>6.896551724137931</v>
      </c>
      <c r="E5" s="37">
        <f>E4*H4</f>
        <v>6.896551724137931</v>
      </c>
      <c r="F5" s="37"/>
      <c r="G5" s="35"/>
      <c r="H5" s="35"/>
      <c r="I5" s="36">
        <f>ABS(B3-B5)+ABS(C3-C5)+ABS(D3-D5)+ABS(E3-E5)</f>
        <v>22.639080459770113</v>
      </c>
      <c r="J5" s="37">
        <f>ABS(B3-B5)+ABS(C3-C5)</f>
        <v>20.739080459770115</v>
      </c>
      <c r="K5" s="153" t="s">
        <v>51</v>
      </c>
      <c r="L5" s="37">
        <f>ABS(B5-C5)</f>
        <v>21.839080459770116</v>
      </c>
      <c r="M5" s="37">
        <f>ABS(L5-L3)</f>
        <v>20.739080459770115</v>
      </c>
      <c r="N5" s="40" t="s">
        <v>51</v>
      </c>
    </row>
    <row r="6" spans="1:16" ht="12">
      <c r="A6" s="152" t="s">
        <v>144</v>
      </c>
      <c r="B6" s="35">
        <v>46.4</v>
      </c>
      <c r="C6" s="35">
        <v>27.6</v>
      </c>
      <c r="D6" s="35">
        <v>4.5</v>
      </c>
      <c r="E6" s="35">
        <v>7.5</v>
      </c>
      <c r="F6" s="35"/>
      <c r="G6" s="35">
        <f>B6+C6+D6+E6</f>
        <v>86</v>
      </c>
      <c r="H6" s="37">
        <f>G3/G6</f>
        <v>1.1627906976744187</v>
      </c>
      <c r="I6" s="39"/>
      <c r="J6" s="35"/>
      <c r="K6" s="40"/>
      <c r="L6" s="35"/>
      <c r="M6" s="35"/>
      <c r="N6" s="40"/>
      <c r="P6" s="150" t="s">
        <v>147</v>
      </c>
    </row>
    <row r="7" spans="1:14" ht="12">
      <c r="A7" s="154" t="s">
        <v>68</v>
      </c>
      <c r="B7" s="37">
        <f>B6*H6</f>
        <v>53.95348837209303</v>
      </c>
      <c r="C7" s="37">
        <f>C6*H6</f>
        <v>32.093023255813954</v>
      </c>
      <c r="D7" s="37">
        <f>D6*H6</f>
        <v>5.232558139534884</v>
      </c>
      <c r="E7" s="37">
        <f>E6*H6</f>
        <v>8.72093023255814</v>
      </c>
      <c r="F7" s="37"/>
      <c r="G7" s="35"/>
      <c r="H7" s="35"/>
      <c r="I7" s="36">
        <f>ABS(B3-B7)+ABS(C3-C7)+ABS(D3-D7)+ABS(E3-E7)</f>
        <v>26.14883720930233</v>
      </c>
      <c r="J7" s="37">
        <f>ABS(B3-B7)+ABS(C3-C7)</f>
        <v>20.76046511627907</v>
      </c>
      <c r="K7" s="153" t="s">
        <v>51</v>
      </c>
      <c r="L7" s="37">
        <f>ABS(B7-C7)</f>
        <v>21.860465116279073</v>
      </c>
      <c r="M7" s="37">
        <f>ABS(L7-L3)</f>
        <v>20.76046511627907</v>
      </c>
      <c r="N7" s="40" t="s">
        <v>51</v>
      </c>
    </row>
    <row r="8" spans="1:16" ht="12">
      <c r="A8" s="152" t="s">
        <v>110</v>
      </c>
      <c r="B8" s="35">
        <v>39.6</v>
      </c>
      <c r="C8" s="35">
        <v>35.3</v>
      </c>
      <c r="D8" s="35">
        <v>6.8</v>
      </c>
      <c r="E8" s="35">
        <v>8.1</v>
      </c>
      <c r="F8" s="35"/>
      <c r="G8" s="35">
        <f>B8+C8+D8+E8</f>
        <v>89.8</v>
      </c>
      <c r="H8" s="37">
        <f>G3/G8</f>
        <v>1.1135857461024499</v>
      </c>
      <c r="I8" s="39"/>
      <c r="J8" s="35"/>
      <c r="K8" s="40"/>
      <c r="L8" s="35"/>
      <c r="M8" s="35"/>
      <c r="N8" s="40"/>
      <c r="P8" s="150" t="s">
        <v>149</v>
      </c>
    </row>
    <row r="9" spans="1:14" ht="12">
      <c r="A9" s="154" t="s">
        <v>68</v>
      </c>
      <c r="B9" s="37">
        <f>B8*H8</f>
        <v>44.097995545657014</v>
      </c>
      <c r="C9" s="37">
        <f>C8*H8</f>
        <v>39.30957683741648</v>
      </c>
      <c r="D9" s="37">
        <f>D8*H8</f>
        <v>7.572383073496659</v>
      </c>
      <c r="E9" s="37">
        <f>E8*H8</f>
        <v>9.020044543429844</v>
      </c>
      <c r="F9" s="37"/>
      <c r="G9" s="35"/>
      <c r="H9" s="35"/>
      <c r="I9" s="36">
        <f>ABS(B3-B9)+ABS(C3-C9)+ABS(D3-D9)+ABS(E3-E9)</f>
        <v>7.036080178173719</v>
      </c>
      <c r="J9" s="37">
        <f>ABS(B3-B9)+ABS(C3-C9)</f>
        <v>3.6884187082405333</v>
      </c>
      <c r="K9" s="153" t="s">
        <v>51</v>
      </c>
      <c r="L9" s="37">
        <f>ABS(B9-C9)</f>
        <v>4.788418708240535</v>
      </c>
      <c r="M9" s="37">
        <f>ABS(L9-L3)</f>
        <v>3.6884187082405333</v>
      </c>
      <c r="N9" s="40" t="s">
        <v>51</v>
      </c>
    </row>
    <row r="10" spans="1:16" ht="12">
      <c r="A10" s="152" t="s">
        <v>138</v>
      </c>
      <c r="B10" s="35">
        <v>47</v>
      </c>
      <c r="C10" s="35">
        <v>32</v>
      </c>
      <c r="D10" s="35">
        <v>8</v>
      </c>
      <c r="E10" s="35">
        <v>6</v>
      </c>
      <c r="F10" s="35"/>
      <c r="G10" s="35">
        <f>B10+C10+D10+E10</f>
        <v>93</v>
      </c>
      <c r="H10" s="37">
        <f>G3/G10</f>
        <v>1.075268817204301</v>
      </c>
      <c r="I10" s="39"/>
      <c r="J10" s="35"/>
      <c r="K10" s="40"/>
      <c r="L10" s="35"/>
      <c r="M10" s="35"/>
      <c r="N10" s="40"/>
      <c r="P10" s="150" t="s">
        <v>148</v>
      </c>
    </row>
    <row r="11" spans="1:14" ht="12">
      <c r="A11" s="154" t="s">
        <v>68</v>
      </c>
      <c r="B11" s="37">
        <f>B10*H10</f>
        <v>50.537634408602145</v>
      </c>
      <c r="C11" s="37">
        <f>C10*H10</f>
        <v>34.40860215053763</v>
      </c>
      <c r="D11" s="37">
        <f>D10*H10</f>
        <v>8.602150537634408</v>
      </c>
      <c r="E11" s="37">
        <f>E10*H10</f>
        <v>6.451612903225806</v>
      </c>
      <c r="F11" s="37"/>
      <c r="G11" s="35"/>
      <c r="H11" s="35"/>
      <c r="I11" s="36">
        <f>ABS(B3-B11)+ABS(C3-C11)+ABS(D3-D11)+ABS(E3-E11)</f>
        <v>15.279569892473113</v>
      </c>
      <c r="J11" s="37">
        <f>ABS(B3-B11)+ABS(C3-C11)</f>
        <v>15.029032258064511</v>
      </c>
      <c r="K11" s="153" t="s">
        <v>51</v>
      </c>
      <c r="L11" s="37">
        <f>ABS(B11-C11)</f>
        <v>16.129032258064512</v>
      </c>
      <c r="M11" s="37">
        <f>ABS(L11-L3)</f>
        <v>15.029032258064511</v>
      </c>
      <c r="N11" s="40" t="s">
        <v>51</v>
      </c>
    </row>
    <row r="12" spans="1:21" ht="12">
      <c r="A12" s="163" t="s">
        <v>46</v>
      </c>
      <c r="B12" s="166">
        <f>AVERAGE(B5,B7,B9,B11)</f>
        <v>50.65302670802483</v>
      </c>
      <c r="C12" s="166">
        <f>AVERAGE(C5,C7,C9,C11)</f>
        <v>34.49877757243627</v>
      </c>
      <c r="D12" s="166">
        <f>AVERAGE(D5,D7,D9,D11)</f>
        <v>7.07591086870097</v>
      </c>
      <c r="E12" s="166">
        <f>AVERAGE(E5,E7,E9,E11)</f>
        <v>7.772284850837931</v>
      </c>
      <c r="F12" s="166"/>
      <c r="G12" s="165"/>
      <c r="H12" s="165"/>
      <c r="I12" s="196">
        <f>AVERAGE(I5,I7,I9,I11)</f>
        <v>17.775891934929817</v>
      </c>
      <c r="J12" s="166">
        <f>AVERAGE(J5,J7,J9,J11)</f>
        <v>15.054249135588558</v>
      </c>
      <c r="K12" s="180" t="s">
        <v>51</v>
      </c>
      <c r="L12" s="166">
        <f>AVERAGE(L5,L7,L9,L11)</f>
        <v>16.154249135588557</v>
      </c>
      <c r="M12" s="166">
        <f>AVERAGE(M5,M7,M9,M11)</f>
        <v>15.054249135588558</v>
      </c>
      <c r="N12" s="162" t="s">
        <v>51</v>
      </c>
      <c r="O12" s="51"/>
      <c r="P12" s="51"/>
      <c r="Q12" s="51"/>
      <c r="R12" s="35"/>
      <c r="S12" s="35"/>
      <c r="T12" s="35"/>
      <c r="U12" s="35"/>
    </row>
    <row r="13" spans="1:21" ht="12">
      <c r="A13" s="212" t="s">
        <v>88</v>
      </c>
      <c r="B13" s="158"/>
      <c r="C13" s="158"/>
      <c r="D13" s="158"/>
      <c r="E13" s="158"/>
      <c r="F13" s="158"/>
      <c r="G13" s="157"/>
      <c r="H13" s="157">
        <v>4</v>
      </c>
      <c r="I13" s="195">
        <f>H13*I12</f>
        <v>71.10356773971927</v>
      </c>
      <c r="J13" s="158">
        <f>H13*J12</f>
        <v>60.21699654235423</v>
      </c>
      <c r="K13" s="170" t="s">
        <v>51</v>
      </c>
      <c r="L13" s="158"/>
      <c r="M13" s="157"/>
      <c r="N13" s="193"/>
      <c r="O13" s="51"/>
      <c r="P13" s="51"/>
      <c r="Q13" s="51"/>
      <c r="R13" s="35"/>
      <c r="S13" s="35"/>
      <c r="T13" s="35"/>
      <c r="U13" s="35"/>
    </row>
    <row r="15" spans="2:14" ht="12"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7" spans="1:14" ht="12">
      <c r="A17" s="267" t="s">
        <v>115</v>
      </c>
      <c r="B17" s="275" t="s">
        <v>373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7"/>
    </row>
    <row r="18" spans="1:16" ht="12">
      <c r="A18" s="268"/>
      <c r="B18" s="49" t="s">
        <v>96</v>
      </c>
      <c r="C18" s="48" t="s">
        <v>97</v>
      </c>
      <c r="D18" s="48" t="s">
        <v>98</v>
      </c>
      <c r="E18" s="48"/>
      <c r="F18" s="48"/>
      <c r="G18" s="48" t="s">
        <v>66</v>
      </c>
      <c r="H18" s="48" t="s">
        <v>67</v>
      </c>
      <c r="I18" s="154" t="s">
        <v>26</v>
      </c>
      <c r="J18" s="39"/>
      <c r="K18" s="220"/>
      <c r="L18" s="48" t="s">
        <v>104</v>
      </c>
      <c r="M18" s="308" t="s">
        <v>326</v>
      </c>
      <c r="N18" s="309"/>
      <c r="P18" s="149" t="s">
        <v>55</v>
      </c>
    </row>
    <row r="19" spans="1:16" ht="12">
      <c r="A19" s="182" t="s">
        <v>348</v>
      </c>
      <c r="B19" s="182">
        <v>73.2</v>
      </c>
      <c r="C19" s="165">
        <v>23.4</v>
      </c>
      <c r="D19" s="165">
        <v>3.4</v>
      </c>
      <c r="E19" s="211"/>
      <c r="F19" s="211"/>
      <c r="G19" s="165">
        <f>B19+C19+D19+E19</f>
        <v>100</v>
      </c>
      <c r="H19" s="165"/>
      <c r="I19" s="181"/>
      <c r="J19" s="39"/>
      <c r="K19" s="40"/>
      <c r="L19" s="216">
        <f>ABS(B19-C19)</f>
        <v>49.800000000000004</v>
      </c>
      <c r="M19" s="165"/>
      <c r="N19" s="162"/>
      <c r="P19" s="150" t="s">
        <v>154</v>
      </c>
    </row>
    <row r="20" spans="1:16" ht="12">
      <c r="A20" s="39" t="s">
        <v>145</v>
      </c>
      <c r="B20" s="39">
        <v>62</v>
      </c>
      <c r="C20" s="35">
        <v>24</v>
      </c>
      <c r="D20" s="35">
        <v>1</v>
      </c>
      <c r="E20" s="50"/>
      <c r="F20" s="50"/>
      <c r="G20" s="35">
        <f>B20+C20+D20+E20</f>
        <v>87</v>
      </c>
      <c r="H20" s="37">
        <f>G19/G20</f>
        <v>1.1494252873563218</v>
      </c>
      <c r="I20" s="217"/>
      <c r="J20" s="39"/>
      <c r="K20" s="40"/>
      <c r="L20" s="36"/>
      <c r="M20" s="35"/>
      <c r="N20" s="40"/>
      <c r="P20" s="150" t="s">
        <v>155</v>
      </c>
    </row>
    <row r="21" spans="1:14" ht="12">
      <c r="A21" s="49" t="s">
        <v>68</v>
      </c>
      <c r="B21" s="36">
        <f>B20*H20</f>
        <v>71.26436781609195</v>
      </c>
      <c r="C21" s="37">
        <f>C20*H20</f>
        <v>27.586206896551722</v>
      </c>
      <c r="D21" s="37">
        <f>D20*H20</f>
        <v>1.1494252873563218</v>
      </c>
      <c r="E21" s="37"/>
      <c r="F21" s="37"/>
      <c r="G21" s="35"/>
      <c r="H21" s="35"/>
      <c r="I21" s="217">
        <f>ABS(B19-B21)+ABS(C19-C21)+ABS(D19-D21)+ABS(E19-E21)</f>
        <v>8.372413793103457</v>
      </c>
      <c r="J21" s="39"/>
      <c r="K21" s="207"/>
      <c r="L21" s="36">
        <f>ABS(B21-C21)</f>
        <v>43.678160919540225</v>
      </c>
      <c r="M21" s="37">
        <f>ABS(L21-L19)</f>
        <v>6.121839080459779</v>
      </c>
      <c r="N21" s="40"/>
    </row>
    <row r="22" spans="1:14" ht="12">
      <c r="A22" s="39" t="s">
        <v>355</v>
      </c>
      <c r="B22" s="39">
        <v>68</v>
      </c>
      <c r="C22" s="35">
        <v>22</v>
      </c>
      <c r="D22" s="35">
        <v>1</v>
      </c>
      <c r="E22" s="35"/>
      <c r="F22" s="35"/>
      <c r="G22" s="35">
        <f>B22+C22+D22+E22</f>
        <v>91</v>
      </c>
      <c r="H22" s="37">
        <f>G19/G22</f>
        <v>1.098901098901099</v>
      </c>
      <c r="I22" s="152"/>
      <c r="J22" s="39"/>
      <c r="K22" s="40"/>
      <c r="L22" s="39"/>
      <c r="M22" s="35"/>
      <c r="N22" s="40"/>
    </row>
    <row r="23" spans="1:14" ht="12">
      <c r="A23" s="213" t="s">
        <v>68</v>
      </c>
      <c r="B23" s="41">
        <f>B22*H22</f>
        <v>74.72527472527473</v>
      </c>
      <c r="C23" s="42">
        <f>C22*H22</f>
        <v>24.17582417582418</v>
      </c>
      <c r="D23" s="42">
        <f>D22*H22</f>
        <v>1.098901098901099</v>
      </c>
      <c r="E23" s="42"/>
      <c r="F23" s="42"/>
      <c r="G23" s="157"/>
      <c r="H23" s="157"/>
      <c r="I23" s="218">
        <f>ABS(B19-B23)+ABS(C19-C23)+ABS(D19-D23)+ABS(E19-E23)</f>
        <v>4.602197802197808</v>
      </c>
      <c r="J23" s="39"/>
      <c r="K23" s="207"/>
      <c r="L23" s="214">
        <f>ABS(B23-C23)</f>
        <v>50.549450549450555</v>
      </c>
      <c r="M23" s="215">
        <f>ABS(L23-L19)</f>
        <v>0.7494505494505503</v>
      </c>
      <c r="N23" s="193"/>
    </row>
    <row r="24" spans="1:14" ht="12">
      <c r="A24" s="194" t="s">
        <v>88</v>
      </c>
      <c r="B24" s="195"/>
      <c r="C24" s="158"/>
      <c r="D24" s="158"/>
      <c r="E24" s="158"/>
      <c r="F24" s="158"/>
      <c r="G24" s="157"/>
      <c r="H24" s="157">
        <v>1</v>
      </c>
      <c r="I24" s="219">
        <f>H24*I23</f>
        <v>4.602197802197808</v>
      </c>
      <c r="J24" s="172"/>
      <c r="K24" s="209"/>
      <c r="L24" s="158"/>
      <c r="M24" s="168"/>
      <c r="N24" s="170"/>
    </row>
    <row r="28" spans="1:11" ht="12">
      <c r="A28" s="267" t="s">
        <v>118</v>
      </c>
      <c r="B28" s="275" t="s">
        <v>372</v>
      </c>
      <c r="C28" s="276"/>
      <c r="D28" s="276"/>
      <c r="E28" s="276"/>
      <c r="F28" s="276"/>
      <c r="G28" s="276"/>
      <c r="H28" s="276"/>
      <c r="I28" s="276"/>
      <c r="J28" s="277"/>
      <c r="K28" s="35"/>
    </row>
    <row r="29" spans="1:16" ht="12">
      <c r="A29" s="268"/>
      <c r="B29" s="160" t="s">
        <v>100</v>
      </c>
      <c r="C29" s="161" t="s">
        <v>64</v>
      </c>
      <c r="D29" s="161"/>
      <c r="E29" s="161"/>
      <c r="F29" s="161"/>
      <c r="G29" s="161" t="s">
        <v>66</v>
      </c>
      <c r="H29" s="180" t="s">
        <v>67</v>
      </c>
      <c r="I29" s="161" t="s">
        <v>26</v>
      </c>
      <c r="J29" s="180" t="s">
        <v>104</v>
      </c>
      <c r="L29" s="35"/>
      <c r="M29" s="206"/>
      <c r="N29" s="206"/>
      <c r="P29" s="149" t="s">
        <v>55</v>
      </c>
    </row>
    <row r="30" spans="1:16" ht="12">
      <c r="A30" s="190" t="s">
        <v>348</v>
      </c>
      <c r="B30" s="190">
        <v>47.7</v>
      </c>
      <c r="C30" s="185">
        <v>51.3</v>
      </c>
      <c r="D30" s="185"/>
      <c r="E30" s="222"/>
      <c r="F30" s="222"/>
      <c r="G30" s="185">
        <f>B30+C30+D30+E30</f>
        <v>99</v>
      </c>
      <c r="H30" s="177"/>
      <c r="I30" s="185"/>
      <c r="J30" s="223">
        <f>C30-B30</f>
        <v>3.5999999999999943</v>
      </c>
      <c r="M30" s="35"/>
      <c r="N30" s="35"/>
      <c r="P30" s="150" t="s">
        <v>158</v>
      </c>
    </row>
    <row r="31" spans="1:16" ht="12">
      <c r="A31" s="190" t="s">
        <v>109</v>
      </c>
      <c r="B31" s="190">
        <v>45.3</v>
      </c>
      <c r="C31" s="185">
        <v>46.5</v>
      </c>
      <c r="D31" s="185"/>
      <c r="E31" s="222"/>
      <c r="F31" s="222"/>
      <c r="G31" s="185">
        <f>B31+C31</f>
        <v>91.8</v>
      </c>
      <c r="H31" s="223">
        <f>G30/G31</f>
        <v>1.0784313725490196</v>
      </c>
      <c r="I31" s="186"/>
      <c r="J31" s="223"/>
      <c r="P31" s="150" t="s">
        <v>156</v>
      </c>
    </row>
    <row r="32" spans="1:13" ht="12">
      <c r="A32" s="49" t="s">
        <v>68</v>
      </c>
      <c r="B32" s="36">
        <f>B31*H31</f>
        <v>48.85294117647058</v>
      </c>
      <c r="C32" s="37">
        <f>C31*H31</f>
        <v>50.147058823529406</v>
      </c>
      <c r="D32" s="37"/>
      <c r="E32" s="37"/>
      <c r="F32" s="37"/>
      <c r="G32" s="35"/>
      <c r="H32" s="40"/>
      <c r="I32" s="37">
        <f>ABS(B30-B32)+ABS(C30-C32)</f>
        <v>2.3058823529411683</v>
      </c>
      <c r="J32" s="207">
        <f>C32-B32</f>
        <v>1.294117647058826</v>
      </c>
      <c r="M32" s="148"/>
    </row>
    <row r="33" spans="1:16" ht="12">
      <c r="A33" s="39" t="s">
        <v>139</v>
      </c>
      <c r="B33" s="39">
        <v>47</v>
      </c>
      <c r="C33" s="35">
        <v>43</v>
      </c>
      <c r="D33" s="35"/>
      <c r="E33" s="35"/>
      <c r="F33" s="35"/>
      <c r="G33" s="35">
        <f>B33+C33</f>
        <v>90</v>
      </c>
      <c r="H33" s="207">
        <f>G30/G33</f>
        <v>1.1</v>
      </c>
      <c r="I33" s="35"/>
      <c r="J33" s="40"/>
      <c r="P33" s="150" t="s">
        <v>157</v>
      </c>
    </row>
    <row r="34" spans="1:13" ht="12">
      <c r="A34" s="49" t="s">
        <v>68</v>
      </c>
      <c r="B34" s="36">
        <f>B33*H33</f>
        <v>51.7</v>
      </c>
      <c r="C34" s="37">
        <f>C33*H33</f>
        <v>47.300000000000004</v>
      </c>
      <c r="D34" s="37"/>
      <c r="E34" s="37"/>
      <c r="F34" s="37"/>
      <c r="G34" s="35"/>
      <c r="H34" s="40"/>
      <c r="I34" s="37">
        <f>ABS(B30-B34)+ABS(C30-C34)</f>
        <v>7.999999999999993</v>
      </c>
      <c r="J34" s="207">
        <f>C34-B34</f>
        <v>-4.399999999999999</v>
      </c>
      <c r="M34" s="148"/>
    </row>
    <row r="35" spans="1:16" ht="12">
      <c r="A35" s="39" t="s">
        <v>171</v>
      </c>
      <c r="B35" s="39">
        <v>48</v>
      </c>
      <c r="C35" s="35">
        <v>46</v>
      </c>
      <c r="D35" s="35"/>
      <c r="E35" s="35"/>
      <c r="F35" s="35"/>
      <c r="G35" s="35">
        <f>B35+C35</f>
        <v>94</v>
      </c>
      <c r="H35" s="207">
        <f>G30/G35</f>
        <v>1.053191489361702</v>
      </c>
      <c r="I35" s="35"/>
      <c r="J35" s="40"/>
      <c r="P35" s="150" t="s">
        <v>172</v>
      </c>
    </row>
    <row r="36" spans="1:16" ht="12">
      <c r="A36" s="49" t="s">
        <v>68</v>
      </c>
      <c r="B36" s="36">
        <f>B35*H35</f>
        <v>50.553191489361694</v>
      </c>
      <c r="C36" s="37">
        <f>C35*H35</f>
        <v>48.44680851063829</v>
      </c>
      <c r="D36" s="37"/>
      <c r="E36" s="37"/>
      <c r="F36" s="37"/>
      <c r="G36" s="35"/>
      <c r="H36" s="40"/>
      <c r="I36" s="37">
        <f>ABS(B30-B36)+ABS(C30-C36)</f>
        <v>5.706382978723397</v>
      </c>
      <c r="J36" s="207">
        <f>C36-B36</f>
        <v>-2.1063829787234027</v>
      </c>
      <c r="M36" s="148"/>
      <c r="P36" s="150"/>
    </row>
    <row r="37" spans="1:16" ht="12">
      <c r="A37" s="39" t="s">
        <v>162</v>
      </c>
      <c r="B37" s="39">
        <v>45</v>
      </c>
      <c r="C37" s="35">
        <v>45</v>
      </c>
      <c r="D37" s="35"/>
      <c r="E37" s="35"/>
      <c r="F37" s="35"/>
      <c r="G37" s="35">
        <f>B37+C37</f>
        <v>90</v>
      </c>
      <c r="H37" s="207">
        <f>G30/G37</f>
        <v>1.1</v>
      </c>
      <c r="I37" s="35"/>
      <c r="J37" s="40"/>
      <c r="P37" s="150" t="s">
        <v>159</v>
      </c>
    </row>
    <row r="38" spans="1:13" ht="12">
      <c r="A38" s="49" t="s">
        <v>68</v>
      </c>
      <c r="B38" s="36">
        <f>B37*H37</f>
        <v>49.50000000000001</v>
      </c>
      <c r="C38" s="37">
        <f>C37*H37</f>
        <v>49.50000000000001</v>
      </c>
      <c r="D38" s="37"/>
      <c r="E38" s="37"/>
      <c r="F38" s="37"/>
      <c r="G38" s="35"/>
      <c r="H38" s="40"/>
      <c r="I38" s="37">
        <f>ABS(B30-B38)+ABS(C30-C38)</f>
        <v>3.5999999999999943</v>
      </c>
      <c r="J38" s="207">
        <f>C38-B38</f>
        <v>0</v>
      </c>
      <c r="M38" s="148"/>
    </row>
    <row r="39" spans="1:16" ht="12">
      <c r="A39" s="221" t="s">
        <v>161</v>
      </c>
      <c r="B39" s="36">
        <v>39</v>
      </c>
      <c r="C39" s="37">
        <v>46</v>
      </c>
      <c r="D39" s="37"/>
      <c r="E39" s="37"/>
      <c r="F39" s="37"/>
      <c r="G39" s="35">
        <f>B39+C39</f>
        <v>85</v>
      </c>
      <c r="H39" s="207">
        <f>G30/G39</f>
        <v>1.1647058823529413</v>
      </c>
      <c r="I39" s="37"/>
      <c r="J39" s="207"/>
      <c r="P39" s="150" t="s">
        <v>160</v>
      </c>
    </row>
    <row r="40" spans="1:13" ht="12">
      <c r="A40" s="213"/>
      <c r="B40" s="41">
        <f>B39*H39</f>
        <v>45.42352941176471</v>
      </c>
      <c r="C40" s="42">
        <f>C39*H39</f>
        <v>53.576470588235296</v>
      </c>
      <c r="D40" s="42"/>
      <c r="E40" s="42"/>
      <c r="F40" s="42"/>
      <c r="G40" s="157"/>
      <c r="H40" s="193"/>
      <c r="I40" s="42">
        <f>ABS(B30-B40)+ABS(C30-C40)</f>
        <v>4.55294117647059</v>
      </c>
      <c r="J40" s="209">
        <f>C40-B40</f>
        <v>8.152941176470584</v>
      </c>
      <c r="M40" s="148"/>
    </row>
    <row r="41" spans="1:10" ht="12">
      <c r="A41" s="191" t="s">
        <v>46</v>
      </c>
      <c r="B41" s="195">
        <f>AVERAGE(B32,B34,B36,B38,B40)</f>
        <v>49.2059324155194</v>
      </c>
      <c r="C41" s="158">
        <f>AVERAGE(C32,C34,C36,C38,C40)</f>
        <v>49.794067584480594</v>
      </c>
      <c r="D41" s="158"/>
      <c r="E41" s="158"/>
      <c r="F41" s="158"/>
      <c r="G41" s="157"/>
      <c r="H41" s="193"/>
      <c r="I41" s="158">
        <f>AVERAGE(I32,I34,I36,I38,I40)</f>
        <v>4.833041301627029</v>
      </c>
      <c r="J41" s="224">
        <f>AVERAGE(J32,J34,J36,J38,J40)</f>
        <v>0.5881351689612018</v>
      </c>
    </row>
    <row r="42" spans="1:10" ht="12">
      <c r="A42" s="194" t="s">
        <v>88</v>
      </c>
      <c r="B42" s="195"/>
      <c r="C42" s="158"/>
      <c r="D42" s="158"/>
      <c r="E42" s="158"/>
      <c r="F42" s="158"/>
      <c r="G42" s="157"/>
      <c r="H42" s="193">
        <v>5</v>
      </c>
      <c r="I42" s="158">
        <f>H42*I41</f>
        <v>24.165206508135142</v>
      </c>
      <c r="J42" s="224"/>
    </row>
    <row r="43" spans="1:10" ht="12">
      <c r="A43" s="48"/>
      <c r="B43" s="37"/>
      <c r="C43" s="37"/>
      <c r="D43" s="37"/>
      <c r="E43" s="37"/>
      <c r="F43" s="37"/>
      <c r="G43" s="35"/>
      <c r="H43" s="35"/>
      <c r="I43" s="37"/>
      <c r="J43" s="37"/>
    </row>
    <row r="44" spans="1:10" ht="12">
      <c r="A44" s="48"/>
      <c r="B44" s="37"/>
      <c r="C44" s="37"/>
      <c r="D44" s="37"/>
      <c r="E44" s="37"/>
      <c r="F44" s="37"/>
      <c r="G44" s="35"/>
      <c r="H44" s="35"/>
      <c r="I44" s="37"/>
      <c r="J44" s="37"/>
    </row>
    <row r="46" spans="1:14" ht="12">
      <c r="A46" s="267" t="s">
        <v>123</v>
      </c>
      <c r="B46" s="275" t="s">
        <v>101</v>
      </c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7"/>
    </row>
    <row r="47" spans="1:16" ht="12">
      <c r="A47" s="268"/>
      <c r="B47" s="171" t="s">
        <v>100</v>
      </c>
      <c r="C47" s="176" t="s">
        <v>64</v>
      </c>
      <c r="D47" s="176" t="s">
        <v>102</v>
      </c>
      <c r="E47" s="176" t="s">
        <v>103</v>
      </c>
      <c r="F47" s="176" t="s">
        <v>105</v>
      </c>
      <c r="G47" s="176" t="s">
        <v>66</v>
      </c>
      <c r="H47" s="187" t="s">
        <v>67</v>
      </c>
      <c r="I47" s="151" t="s">
        <v>26</v>
      </c>
      <c r="J47" s="39"/>
      <c r="K47" s="40"/>
      <c r="L47" s="48" t="s">
        <v>104</v>
      </c>
      <c r="M47" s="308" t="s">
        <v>326</v>
      </c>
      <c r="N47" s="309"/>
      <c r="P47" s="149" t="s">
        <v>55</v>
      </c>
    </row>
    <row r="48" spans="1:16" ht="12.75">
      <c r="A48" s="190" t="s">
        <v>348</v>
      </c>
      <c r="B48" s="190">
        <v>30.6</v>
      </c>
      <c r="C48" s="185">
        <v>35.6</v>
      </c>
      <c r="D48" s="185">
        <v>22.4</v>
      </c>
      <c r="E48" s="222">
        <v>8</v>
      </c>
      <c r="F48" s="222">
        <v>2.7</v>
      </c>
      <c r="G48" s="185">
        <f>B48+C48+D48+E48+F48</f>
        <v>99.3</v>
      </c>
      <c r="H48" s="177"/>
      <c r="I48" s="198"/>
      <c r="J48" s="39"/>
      <c r="K48" s="40"/>
      <c r="L48" s="225">
        <f>C48-B48</f>
        <v>5</v>
      </c>
      <c r="M48" s="185"/>
      <c r="N48" s="177"/>
      <c r="P48" s="6" t="s">
        <v>167</v>
      </c>
    </row>
    <row r="49" spans="1:16" ht="12">
      <c r="A49" s="190" t="s">
        <v>163</v>
      </c>
      <c r="B49" s="190">
        <v>35</v>
      </c>
      <c r="C49" s="185">
        <v>31</v>
      </c>
      <c r="D49" s="185">
        <v>20</v>
      </c>
      <c r="E49" s="222">
        <v>9</v>
      </c>
      <c r="F49" s="222">
        <v>2</v>
      </c>
      <c r="G49" s="185">
        <f>B49+C49+D49+E49+F49</f>
        <v>97</v>
      </c>
      <c r="H49" s="223">
        <f>G48/G49</f>
        <v>1.0237113402061855</v>
      </c>
      <c r="I49" s="226"/>
      <c r="J49" s="39"/>
      <c r="K49" s="40"/>
      <c r="L49" s="225"/>
      <c r="M49" s="185"/>
      <c r="N49" s="177"/>
      <c r="P49" s="150" t="s">
        <v>170</v>
      </c>
    </row>
    <row r="50" spans="1:14" ht="12">
      <c r="A50" s="49" t="s">
        <v>68</v>
      </c>
      <c r="B50" s="36">
        <f>B49*H49</f>
        <v>35.829896907216494</v>
      </c>
      <c r="C50" s="37">
        <f>C49*H49</f>
        <v>31.73505154639175</v>
      </c>
      <c r="D50" s="37">
        <f>D49*H49</f>
        <v>20.47422680412371</v>
      </c>
      <c r="E50" s="37">
        <f>E49*H49</f>
        <v>9.21340206185567</v>
      </c>
      <c r="F50" s="37">
        <f>F49*H49</f>
        <v>2.047422680412371</v>
      </c>
      <c r="G50" s="35"/>
      <c r="H50" s="40"/>
      <c r="I50" s="217">
        <f>ABS(B48-B50)+ABS(C48-C50)+ABS(D48-D50)+ABS(E48-E50)</f>
        <v>12.2340206185567</v>
      </c>
      <c r="J50" s="39"/>
      <c r="K50" s="40"/>
      <c r="L50" s="36">
        <f>C50-B50</f>
        <v>-4.094845360824742</v>
      </c>
      <c r="M50" s="37">
        <f>ABS(L50-L48)</f>
        <v>9.094845360824742</v>
      </c>
      <c r="N50" s="40"/>
    </row>
    <row r="51" spans="1:16" ht="12">
      <c r="A51" s="39" t="s">
        <v>112</v>
      </c>
      <c r="B51" s="39">
        <v>37.8</v>
      </c>
      <c r="C51" s="35">
        <v>36</v>
      </c>
      <c r="D51" s="35">
        <v>7.3</v>
      </c>
      <c r="E51" s="35">
        <v>11.2</v>
      </c>
      <c r="F51" s="50">
        <v>3</v>
      </c>
      <c r="G51" s="35">
        <f>B51+C51+D51+E51+F51</f>
        <v>95.3</v>
      </c>
      <c r="H51" s="207">
        <f>G48/G51</f>
        <v>1.0419727177334732</v>
      </c>
      <c r="I51" s="152"/>
      <c r="J51" s="39"/>
      <c r="K51" s="40"/>
      <c r="L51" s="39"/>
      <c r="M51" s="35"/>
      <c r="N51" s="40"/>
      <c r="P51" s="150" t="s">
        <v>168</v>
      </c>
    </row>
    <row r="52" spans="1:14" ht="12">
      <c r="A52" s="49" t="s">
        <v>68</v>
      </c>
      <c r="B52" s="36">
        <f>B51*H51</f>
        <v>39.38656873032529</v>
      </c>
      <c r="C52" s="37">
        <f>C51*H51</f>
        <v>37.51101783840504</v>
      </c>
      <c r="D52" s="37">
        <f>D51*H51</f>
        <v>7.606400839454355</v>
      </c>
      <c r="E52" s="37">
        <f>E51*H51</f>
        <v>11.6700944386149</v>
      </c>
      <c r="F52" s="37">
        <f>F51*H51</f>
        <v>3.12591815320042</v>
      </c>
      <c r="G52" s="35"/>
      <c r="H52" s="40"/>
      <c r="I52" s="217">
        <f>ABS(B48-B52)+ABS(C48-C52)+ABS(D48-D52)+ABS(E48-E52)</f>
        <v>29.161280167890865</v>
      </c>
      <c r="J52" s="39"/>
      <c r="K52" s="40"/>
      <c r="L52" s="36">
        <f>C52-B52</f>
        <v>-1.8755508919202484</v>
      </c>
      <c r="M52" s="37">
        <f>ABS(L52-L48)</f>
        <v>6.875550891920248</v>
      </c>
      <c r="N52" s="40"/>
    </row>
    <row r="53" spans="1:16" ht="12">
      <c r="A53" s="39" t="s">
        <v>113</v>
      </c>
      <c r="B53" s="39">
        <v>34</v>
      </c>
      <c r="C53" s="35">
        <v>30</v>
      </c>
      <c r="D53" s="35">
        <v>17</v>
      </c>
      <c r="E53" s="35">
        <v>8</v>
      </c>
      <c r="F53" s="50">
        <v>2</v>
      </c>
      <c r="G53" s="35">
        <f>B53+C53+D53+E53+F53</f>
        <v>91</v>
      </c>
      <c r="H53" s="207">
        <f>G48/G53</f>
        <v>1.091208791208791</v>
      </c>
      <c r="I53" s="152"/>
      <c r="J53" s="39"/>
      <c r="K53" s="40"/>
      <c r="L53" s="39"/>
      <c r="M53" s="35"/>
      <c r="N53" s="40"/>
      <c r="P53" s="150" t="s">
        <v>169</v>
      </c>
    </row>
    <row r="54" spans="1:14" ht="12">
      <c r="A54" s="213" t="s">
        <v>68</v>
      </c>
      <c r="B54" s="41">
        <f>B53*H53</f>
        <v>37.1010989010989</v>
      </c>
      <c r="C54" s="42">
        <f>C53*H53</f>
        <v>32.73626373626373</v>
      </c>
      <c r="D54" s="42">
        <f>D53*H53</f>
        <v>18.55054945054945</v>
      </c>
      <c r="E54" s="42">
        <f>E53*H53</f>
        <v>8.729670329670329</v>
      </c>
      <c r="F54" s="42">
        <f>F53*H53</f>
        <v>2.182417582417582</v>
      </c>
      <c r="G54" s="157"/>
      <c r="H54" s="193"/>
      <c r="I54" s="227">
        <f>ABS(B48-B54)+ABS(C48-C54)+ABS(D48-D54)+ABS(E48-E54)</f>
        <v>13.943956043956048</v>
      </c>
      <c r="J54" s="39"/>
      <c r="K54" s="40"/>
      <c r="L54" s="41">
        <f>C54-B54</f>
        <v>-4.364835164835171</v>
      </c>
      <c r="M54" s="42">
        <f>ABS(L54-L48)</f>
        <v>9.36483516483517</v>
      </c>
      <c r="N54" s="193"/>
    </row>
    <row r="55" spans="1:14" ht="12">
      <c r="A55" s="191" t="s">
        <v>46</v>
      </c>
      <c r="B55" s="195">
        <f>AVERAGE(B50,B52,B54)</f>
        <v>37.439188179546896</v>
      </c>
      <c r="C55" s="158">
        <f>AVERAGE(C50,C52,C54)</f>
        <v>33.99411104035351</v>
      </c>
      <c r="D55" s="158">
        <f>AVERAGE(D50,D52,D54)</f>
        <v>15.543725698042506</v>
      </c>
      <c r="E55" s="158">
        <f>AVERAGE(E50,E52,E54)</f>
        <v>9.871055610046966</v>
      </c>
      <c r="F55" s="158">
        <f>AVERAGE(F50,F52,F54)</f>
        <v>2.451919472010124</v>
      </c>
      <c r="G55" s="157"/>
      <c r="H55" s="193"/>
      <c r="I55" s="219">
        <f>AVERAGE(I50,I52,I54)</f>
        <v>18.446418943467872</v>
      </c>
      <c r="J55" s="39"/>
      <c r="K55" s="40"/>
      <c r="L55" s="195">
        <f>AVERAGE(L50,L52,L54)</f>
        <v>-3.445077139193387</v>
      </c>
      <c r="M55" s="158">
        <f>AVERAGE(M50,M52,M54)</f>
        <v>8.445077139193387</v>
      </c>
      <c r="N55" s="193"/>
    </row>
    <row r="56" spans="1:14" ht="12">
      <c r="A56" s="194" t="s">
        <v>88</v>
      </c>
      <c r="B56" s="195"/>
      <c r="C56" s="158"/>
      <c r="D56" s="158"/>
      <c r="E56" s="158"/>
      <c r="F56" s="158"/>
      <c r="G56" s="157"/>
      <c r="H56" s="193">
        <v>3</v>
      </c>
      <c r="I56" s="219">
        <f>H56*I55</f>
        <v>55.33925683040361</v>
      </c>
      <c r="J56" s="172"/>
      <c r="K56" s="193"/>
      <c r="L56" s="158"/>
      <c r="M56" s="157"/>
      <c r="N56" s="193"/>
    </row>
    <row r="60" spans="1:14" ht="12">
      <c r="A60" s="267" t="s">
        <v>124</v>
      </c>
      <c r="B60" s="280" t="s">
        <v>371</v>
      </c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9"/>
    </row>
    <row r="61" spans="1:16" ht="12">
      <c r="A61" s="268"/>
      <c r="B61" s="171" t="s">
        <v>96</v>
      </c>
      <c r="C61" s="176" t="s">
        <v>107</v>
      </c>
      <c r="D61" s="176" t="s">
        <v>97</v>
      </c>
      <c r="E61" s="176" t="s">
        <v>108</v>
      </c>
      <c r="F61" s="176"/>
      <c r="G61" s="176" t="s">
        <v>66</v>
      </c>
      <c r="H61" s="176" t="s">
        <v>67</v>
      </c>
      <c r="I61" s="171" t="s">
        <v>26</v>
      </c>
      <c r="J61" s="312" t="s">
        <v>49</v>
      </c>
      <c r="K61" s="313"/>
      <c r="L61" s="176" t="s">
        <v>104</v>
      </c>
      <c r="M61" s="310" t="s">
        <v>326</v>
      </c>
      <c r="N61" s="311"/>
      <c r="P61" s="149" t="s">
        <v>55</v>
      </c>
    </row>
    <row r="62" spans="1:16" ht="12">
      <c r="A62" s="182" t="s">
        <v>348</v>
      </c>
      <c r="B62" s="182">
        <v>44.76</v>
      </c>
      <c r="C62" s="165">
        <v>33.01</v>
      </c>
      <c r="D62" s="165">
        <v>12.44</v>
      </c>
      <c r="E62" s="211">
        <v>8.76</v>
      </c>
      <c r="F62" s="211"/>
      <c r="G62" s="165">
        <f>B62+C62+D62+E62</f>
        <v>98.97</v>
      </c>
      <c r="H62" s="165"/>
      <c r="I62" s="182"/>
      <c r="J62" s="165"/>
      <c r="K62" s="162"/>
      <c r="L62" s="179">
        <f>ABS(B62-C62)</f>
        <v>11.75</v>
      </c>
      <c r="M62" s="165"/>
      <c r="N62" s="162"/>
      <c r="P62" s="150" t="s">
        <v>173</v>
      </c>
    </row>
    <row r="63" spans="1:16" ht="12">
      <c r="A63" s="190" t="s">
        <v>114</v>
      </c>
      <c r="B63" s="39">
        <v>40.2</v>
      </c>
      <c r="C63" s="35">
        <v>39</v>
      </c>
      <c r="D63" s="35">
        <v>7.1</v>
      </c>
      <c r="E63" s="50">
        <v>4.6</v>
      </c>
      <c r="F63" s="50"/>
      <c r="G63" s="35">
        <f>B63+C63+D63+E63</f>
        <v>90.89999999999999</v>
      </c>
      <c r="H63" s="37">
        <f>G62/G63</f>
        <v>1.088778877887789</v>
      </c>
      <c r="I63" s="36"/>
      <c r="J63" s="35"/>
      <c r="K63" s="40"/>
      <c r="L63" s="37"/>
      <c r="M63" s="35"/>
      <c r="N63" s="40"/>
      <c r="P63" s="150" t="s">
        <v>175</v>
      </c>
    </row>
    <row r="64" spans="1:14" ht="12">
      <c r="A64" s="49" t="s">
        <v>68</v>
      </c>
      <c r="B64" s="36">
        <f>B63*H63</f>
        <v>43.76891089108912</v>
      </c>
      <c r="C64" s="37">
        <f>C63*H63</f>
        <v>42.462376237623765</v>
      </c>
      <c r="D64" s="37">
        <f>D63*H63</f>
        <v>7.730330033003301</v>
      </c>
      <c r="E64" s="37">
        <f>E63*H63</f>
        <v>5.008382838283829</v>
      </c>
      <c r="F64" s="37"/>
      <c r="G64" s="35"/>
      <c r="H64" s="35"/>
      <c r="I64" s="36">
        <f>ABS(B62-B64)+ABS(C62-C64)+ABS(D62-D64)+ABS(E62-E64)</f>
        <v>18.904752475247513</v>
      </c>
      <c r="J64" s="37">
        <f>ABS((B62-B64)+(C64-C62)+(D62-D64))</f>
        <v>15.153135313531344</v>
      </c>
      <c r="K64" s="153" t="s">
        <v>51</v>
      </c>
      <c r="L64" s="37">
        <f>ABS(B64-C64)</f>
        <v>1.3065346534653557</v>
      </c>
      <c r="M64" s="37">
        <f>ABS(L64-L62)</f>
        <v>10.443465346534644</v>
      </c>
      <c r="N64" s="40" t="s">
        <v>51</v>
      </c>
    </row>
    <row r="65" spans="1:14" ht="12">
      <c r="A65" s="39" t="s">
        <v>356</v>
      </c>
      <c r="B65" s="39">
        <v>45.8</v>
      </c>
      <c r="C65" s="35">
        <v>33.4</v>
      </c>
      <c r="D65" s="35">
        <v>9.7</v>
      </c>
      <c r="E65" s="35">
        <v>6.8</v>
      </c>
      <c r="F65" s="35"/>
      <c r="G65" s="35">
        <f>B65+C65+D65+E65</f>
        <v>95.69999999999999</v>
      </c>
      <c r="H65" s="37">
        <f>G62/G65</f>
        <v>1.0341692789968653</v>
      </c>
      <c r="I65" s="39"/>
      <c r="J65" s="35"/>
      <c r="K65" s="40"/>
      <c r="L65" s="35"/>
      <c r="M65" s="35"/>
      <c r="N65" s="40"/>
    </row>
    <row r="66" spans="1:14" ht="12">
      <c r="A66" s="49" t="s">
        <v>68</v>
      </c>
      <c r="B66" s="36">
        <f>B65*H65</f>
        <v>47.36495297805643</v>
      </c>
      <c r="C66" s="37">
        <f>C65*H65</f>
        <v>34.5412539184953</v>
      </c>
      <c r="D66" s="37">
        <f>D65*H65</f>
        <v>10.031442006269593</v>
      </c>
      <c r="E66" s="37">
        <f>E65*H65</f>
        <v>7.032351097178684</v>
      </c>
      <c r="F66" s="37"/>
      <c r="G66" s="35"/>
      <c r="H66" s="35"/>
      <c r="I66" s="231">
        <f>ABS(B62-B66)+ABS(C62-C66)+ABS(D62-D66)+ABS(E62-E66)</f>
        <v>8.272413793103457</v>
      </c>
      <c r="J66" s="38">
        <f>ABS((B62-B66)+(C66-C62)+(D62-D66))</f>
        <v>1.3348589341692776</v>
      </c>
      <c r="K66" s="232" t="s">
        <v>51</v>
      </c>
      <c r="L66" s="38">
        <f>ABS(B66-C66)</f>
        <v>12.823699059561129</v>
      </c>
      <c r="M66" s="38">
        <f>ABS(L66-L62)</f>
        <v>1.0736990595611289</v>
      </c>
      <c r="N66" s="228" t="s">
        <v>50</v>
      </c>
    </row>
    <row r="67" spans="1:16" ht="12">
      <c r="A67" s="39" t="s">
        <v>357</v>
      </c>
      <c r="B67" s="39">
        <v>40</v>
      </c>
      <c r="C67" s="35">
        <v>23</v>
      </c>
      <c r="D67" s="35">
        <v>9</v>
      </c>
      <c r="E67" s="35">
        <v>2</v>
      </c>
      <c r="F67" s="35"/>
      <c r="G67" s="35">
        <f>B67+C67+D67+E67</f>
        <v>74</v>
      </c>
      <c r="H67" s="37">
        <f>G62/G67</f>
        <v>1.3374324324324325</v>
      </c>
      <c r="I67" s="39"/>
      <c r="J67" s="35"/>
      <c r="K67" s="40"/>
      <c r="L67" s="35"/>
      <c r="M67" s="35"/>
      <c r="N67" s="40"/>
      <c r="P67" s="150" t="s">
        <v>176</v>
      </c>
    </row>
    <row r="68" spans="1:14" ht="12">
      <c r="A68" s="49" t="s">
        <v>68</v>
      </c>
      <c r="B68" s="36">
        <f>B67*H67</f>
        <v>53.4972972972973</v>
      </c>
      <c r="C68" s="37">
        <f>C67*H67</f>
        <v>30.76094594594595</v>
      </c>
      <c r="D68" s="37">
        <f>D67*H67</f>
        <v>12.036891891891893</v>
      </c>
      <c r="E68" s="37">
        <f>E67*H67</f>
        <v>2.674864864864865</v>
      </c>
      <c r="F68" s="37"/>
      <c r="G68" s="35"/>
      <c r="H68" s="35"/>
      <c r="I68" s="231">
        <f>ABS(B62-B68)+ABS(C62-C68)+ABS(D62-D68)+ABS(E62-E68)</f>
        <v>17.474594594594592</v>
      </c>
      <c r="J68" s="38">
        <f>ABS((B62-B68)+(C68-C62)+(D62-D68))</f>
        <v>10.583243243243246</v>
      </c>
      <c r="K68" s="232" t="s">
        <v>50</v>
      </c>
      <c r="L68" s="38">
        <f>ABS(B68-C68)</f>
        <v>22.736351351351352</v>
      </c>
      <c r="M68" s="38">
        <f>ABS(L68-L62)</f>
        <v>10.986351351351352</v>
      </c>
      <c r="N68" s="228" t="s">
        <v>50</v>
      </c>
    </row>
    <row r="69" spans="1:14" ht="12" customHeight="1">
      <c r="A69" s="39" t="s">
        <v>140</v>
      </c>
      <c r="B69" s="39">
        <v>46</v>
      </c>
      <c r="C69" s="35">
        <v>24</v>
      </c>
      <c r="D69" s="35">
        <v>11</v>
      </c>
      <c r="E69" s="35">
        <v>2</v>
      </c>
      <c r="F69" s="35"/>
      <c r="G69" s="35">
        <f>B69+C69+D69+E69</f>
        <v>83</v>
      </c>
      <c r="H69" s="37">
        <f>G62/G69</f>
        <v>1.1924096385542169</v>
      </c>
      <c r="I69" s="39"/>
      <c r="J69" s="35"/>
      <c r="K69" s="40"/>
      <c r="L69" s="35"/>
      <c r="M69" s="35"/>
      <c r="N69" s="40"/>
    </row>
    <row r="70" spans="1:14" ht="12">
      <c r="A70" s="49" t="s">
        <v>68</v>
      </c>
      <c r="B70" s="36">
        <f>B69*H69</f>
        <v>54.85084337349398</v>
      </c>
      <c r="C70" s="37">
        <f>C69*H69</f>
        <v>28.617831325301204</v>
      </c>
      <c r="D70" s="37">
        <f>D69*H69</f>
        <v>13.116506024096386</v>
      </c>
      <c r="E70" s="37">
        <f>E69*H69</f>
        <v>2.3848192771084338</v>
      </c>
      <c r="F70" s="37"/>
      <c r="G70" s="35"/>
      <c r="H70" s="35"/>
      <c r="I70" s="36">
        <f>ABS(B62-B70)+ABS(C62-C70)+ABS(D62-D70)+ABS(E62-E70)</f>
        <v>21.53469879518073</v>
      </c>
      <c r="J70" s="37">
        <f>ABS((B62-B70)+(C70-C62)+(D62-D70))</f>
        <v>15.159518072289163</v>
      </c>
      <c r="K70" s="153" t="s">
        <v>50</v>
      </c>
      <c r="L70" s="37">
        <f>ABS(B70-C70)</f>
        <v>26.233012048192776</v>
      </c>
      <c r="M70" s="37">
        <f>ABS(L70-L62)</f>
        <v>14.483012048192776</v>
      </c>
      <c r="N70" s="40" t="s">
        <v>50</v>
      </c>
    </row>
    <row r="71" spans="1:16" ht="12" customHeight="1">
      <c r="A71" s="39" t="s">
        <v>358</v>
      </c>
      <c r="B71" s="39">
        <v>39</v>
      </c>
      <c r="C71" s="35">
        <v>29</v>
      </c>
      <c r="D71" s="35">
        <v>11</v>
      </c>
      <c r="E71" s="35">
        <v>6</v>
      </c>
      <c r="F71" s="35"/>
      <c r="G71" s="35">
        <f>B71+C71+D71+E71</f>
        <v>85</v>
      </c>
      <c r="H71" s="37">
        <f>G62/G71</f>
        <v>1.1643529411764706</v>
      </c>
      <c r="I71" s="39"/>
      <c r="J71" s="35"/>
      <c r="K71" s="40"/>
      <c r="L71" s="35"/>
      <c r="M71" s="35"/>
      <c r="N71" s="40"/>
      <c r="P71" s="150" t="s">
        <v>174</v>
      </c>
    </row>
    <row r="72" spans="1:14" ht="12">
      <c r="A72" s="49" t="s">
        <v>68</v>
      </c>
      <c r="B72" s="36">
        <f>B71*H71</f>
        <v>45.40976470588235</v>
      </c>
      <c r="C72" s="37">
        <f>C71*H71</f>
        <v>33.76623529411765</v>
      </c>
      <c r="D72" s="37">
        <f>D71*H71</f>
        <v>12.807882352941176</v>
      </c>
      <c r="E72" s="37">
        <f>E71*H71</f>
        <v>6.9861176470588235</v>
      </c>
      <c r="F72" s="37"/>
      <c r="G72" s="35"/>
      <c r="H72" s="35"/>
      <c r="I72" s="231">
        <f>ABS(B62-B72)+ABS(C62-C72)+ABS(D62-D72)+ABS(E62-E72)</f>
        <v>3.5477647058823587</v>
      </c>
      <c r="J72" s="38">
        <f>ABS((B62-B72)+(C72-C62)+(D62-D72))</f>
        <v>0.2614117647058798</v>
      </c>
      <c r="K72" s="232" t="s">
        <v>50</v>
      </c>
      <c r="L72" s="38">
        <f>ABS(B72-C72)</f>
        <v>11.643529411764703</v>
      </c>
      <c r="M72" s="38">
        <f>ABS(L72-L62)</f>
        <v>0.10647058823529676</v>
      </c>
      <c r="N72" s="228" t="s">
        <v>51</v>
      </c>
    </row>
    <row r="73" spans="1:16" ht="12">
      <c r="A73" s="221" t="s">
        <v>229</v>
      </c>
      <c r="B73" s="36">
        <v>45</v>
      </c>
      <c r="C73" s="37">
        <v>30</v>
      </c>
      <c r="D73" s="37">
        <v>14</v>
      </c>
      <c r="E73" s="37">
        <v>4</v>
      </c>
      <c r="F73" s="37"/>
      <c r="G73" s="35">
        <f>B73+C73+D73+E73</f>
        <v>93</v>
      </c>
      <c r="H73" s="37">
        <f>G62/G73</f>
        <v>1.0641935483870968</v>
      </c>
      <c r="I73" s="36"/>
      <c r="J73" s="37"/>
      <c r="K73" s="153"/>
      <c r="L73" s="37"/>
      <c r="M73" s="35"/>
      <c r="N73" s="40"/>
      <c r="P73" s="150" t="s">
        <v>228</v>
      </c>
    </row>
    <row r="74" spans="1:14" ht="12">
      <c r="A74" s="49" t="s">
        <v>68</v>
      </c>
      <c r="B74" s="36">
        <f>B73*H73</f>
        <v>47.88870967741936</v>
      </c>
      <c r="C74" s="37">
        <f>C73*H73</f>
        <v>31.925806451612903</v>
      </c>
      <c r="D74" s="37">
        <f>D73*H73</f>
        <v>14.898709677419355</v>
      </c>
      <c r="E74" s="37">
        <f>E73*H73</f>
        <v>4.256774193548387</v>
      </c>
      <c r="F74" s="37"/>
      <c r="G74" s="35"/>
      <c r="H74" s="35"/>
      <c r="I74" s="36">
        <f>ABS(B62-B74)+ABS(C62-C74)+ABS(D62-D74)+ABS(E62-E74)</f>
        <v>11.17483870967742</v>
      </c>
      <c r="J74" s="37">
        <f>ABS((B62-B74)+(C74-C62)+(D62-D74))</f>
        <v>6.6716129032258085</v>
      </c>
      <c r="K74" s="153" t="s">
        <v>50</v>
      </c>
      <c r="L74" s="37">
        <f>ABS(B74-C74)</f>
        <v>15.962903225806453</v>
      </c>
      <c r="M74" s="37">
        <f>ABS(L74-L62)</f>
        <v>4.212903225806453</v>
      </c>
      <c r="N74" s="40" t="s">
        <v>50</v>
      </c>
    </row>
    <row r="75" spans="1:16" ht="12" customHeight="1">
      <c r="A75" s="39" t="s">
        <v>359</v>
      </c>
      <c r="B75" s="39">
        <v>35.3</v>
      </c>
      <c r="C75" s="35">
        <v>22.5</v>
      </c>
      <c r="D75" s="35">
        <v>11.8</v>
      </c>
      <c r="E75" s="35">
        <v>2.5</v>
      </c>
      <c r="F75" s="35"/>
      <c r="G75" s="35">
        <f>B75+C75+D75+E75</f>
        <v>72.1</v>
      </c>
      <c r="H75" s="37">
        <f>G62/G75</f>
        <v>1.3726768377253815</v>
      </c>
      <c r="I75" s="39"/>
      <c r="J75" s="35"/>
      <c r="K75" s="40"/>
      <c r="L75" s="35"/>
      <c r="M75" s="35"/>
      <c r="N75" s="40"/>
      <c r="P75" s="150" t="s">
        <v>228</v>
      </c>
    </row>
    <row r="76" spans="1:14" ht="12">
      <c r="A76" s="49" t="s">
        <v>68</v>
      </c>
      <c r="B76" s="36">
        <f>B75*H75</f>
        <v>48.455492371705965</v>
      </c>
      <c r="C76" s="37">
        <f>C75*H75</f>
        <v>30.885228848821082</v>
      </c>
      <c r="D76" s="37">
        <f>D75*H75</f>
        <v>16.197586685159504</v>
      </c>
      <c r="E76" s="37">
        <f>E75*H75</f>
        <v>3.431692094313454</v>
      </c>
      <c r="F76" s="37"/>
      <c r="G76" s="35"/>
      <c r="H76" s="35"/>
      <c r="I76" s="231">
        <f>ABS(B62-B76)+ABS(C62-C76)+ABS(D62-D76)+ABS(E62-E76)</f>
        <v>14.906158113730932</v>
      </c>
      <c r="J76" s="38">
        <f>ABS((B62-B76)+(C76-C62)+(D62-D76))</f>
        <v>9.577850208044387</v>
      </c>
      <c r="K76" s="232" t="s">
        <v>50</v>
      </c>
      <c r="L76" s="38">
        <f>ABS(B76-C76)</f>
        <v>17.570263522884883</v>
      </c>
      <c r="M76" s="38">
        <f>ABS(L76-L62)</f>
        <v>5.820263522884883</v>
      </c>
      <c r="N76" s="228" t="s">
        <v>50</v>
      </c>
    </row>
    <row r="77" spans="1:16" ht="12" customHeight="1">
      <c r="A77" s="39" t="s">
        <v>227</v>
      </c>
      <c r="B77" s="39">
        <v>45.5</v>
      </c>
      <c r="C77" s="35">
        <v>22</v>
      </c>
      <c r="D77" s="35">
        <v>15.5</v>
      </c>
      <c r="E77" s="35">
        <v>2.7</v>
      </c>
      <c r="F77" s="35"/>
      <c r="G77" s="35">
        <f>B77+C77+D77+E77</f>
        <v>85.7</v>
      </c>
      <c r="H77" s="37">
        <f>G62/G77</f>
        <v>1.1548424737456242</v>
      </c>
      <c r="I77" s="39"/>
      <c r="J77" s="35"/>
      <c r="K77" s="40"/>
      <c r="L77" s="35"/>
      <c r="M77" s="35"/>
      <c r="N77" s="40"/>
      <c r="P77" s="150"/>
    </row>
    <row r="78" spans="1:14" ht="12">
      <c r="A78" s="49" t="s">
        <v>68</v>
      </c>
      <c r="B78" s="36">
        <f>B77*H77</f>
        <v>52.5453325554259</v>
      </c>
      <c r="C78" s="37">
        <f>C77*H77</f>
        <v>25.406534422403734</v>
      </c>
      <c r="D78" s="37">
        <f>D77*H77</f>
        <v>17.900058343057175</v>
      </c>
      <c r="E78" s="37">
        <f>E77*H77</f>
        <v>3.1180746791131857</v>
      </c>
      <c r="F78" s="37"/>
      <c r="G78" s="35"/>
      <c r="H78" s="35"/>
      <c r="I78" s="36">
        <f>ABS(B62-B78)+ABS(C62-C78)+ABS(D62-D78)+ABS(E62-E78)</f>
        <v>26.490781796966154</v>
      </c>
      <c r="J78" s="37">
        <f>ABS((B62-B78)+(C78-C62)+(D62-D78))</f>
        <v>20.84885647607934</v>
      </c>
      <c r="K78" s="153" t="s">
        <v>50</v>
      </c>
      <c r="L78" s="37">
        <f>ABS(B78-C78)</f>
        <v>27.138798133022167</v>
      </c>
      <c r="M78" s="37">
        <f>ABS(L78-L62)</f>
        <v>15.388798133022167</v>
      </c>
      <c r="N78" s="40" t="s">
        <v>50</v>
      </c>
    </row>
    <row r="79" spans="1:16" ht="12" customHeight="1">
      <c r="A79" s="39" t="s">
        <v>230</v>
      </c>
      <c r="B79" s="39">
        <v>36.5</v>
      </c>
      <c r="C79" s="35">
        <v>34.2</v>
      </c>
      <c r="D79" s="35">
        <v>6.6</v>
      </c>
      <c r="E79" s="35">
        <v>3.3</v>
      </c>
      <c r="F79" s="35"/>
      <c r="G79" s="35">
        <f>B79+C79+D79+E79</f>
        <v>80.6</v>
      </c>
      <c r="H79" s="37">
        <f>G62/G79</f>
        <v>1.2279156327543426</v>
      </c>
      <c r="I79" s="39"/>
      <c r="J79" s="35"/>
      <c r="K79" s="40"/>
      <c r="L79" s="35"/>
      <c r="M79" s="35"/>
      <c r="N79" s="40"/>
      <c r="P79" s="150" t="s">
        <v>228</v>
      </c>
    </row>
    <row r="80" spans="1:14" ht="12">
      <c r="A80" s="213" t="s">
        <v>68</v>
      </c>
      <c r="B80" s="41">
        <f>B79*H79</f>
        <v>44.818920595533505</v>
      </c>
      <c r="C80" s="42">
        <f>C79*H79</f>
        <v>41.99471464019852</v>
      </c>
      <c r="D80" s="42">
        <f>D79*H79</f>
        <v>8.104243176178661</v>
      </c>
      <c r="E80" s="42">
        <f>E79*H79</f>
        <v>4.052121588089331</v>
      </c>
      <c r="F80" s="42"/>
      <c r="G80" s="157"/>
      <c r="H80" s="157"/>
      <c r="I80" s="41">
        <f>ABS(B62-B80)+ABS(C62-C80)+ABS(D62-D80)+ABS(E62-E80)</f>
        <v>18.087270471464034</v>
      </c>
      <c r="J80" s="42">
        <f>ABS((B62-B80)+(C80-C62)+(D62-D80))</f>
        <v>13.26155086848635</v>
      </c>
      <c r="K80" s="170" t="s">
        <v>51</v>
      </c>
      <c r="L80" s="42">
        <f>ABS(B80-C80)</f>
        <v>2.824205955334989</v>
      </c>
      <c r="M80" s="42">
        <f>ABS(L80-L62)</f>
        <v>8.925794044665011</v>
      </c>
      <c r="N80" s="193" t="s">
        <v>51</v>
      </c>
    </row>
    <row r="81" spans="1:14" ht="12">
      <c r="A81" s="191" t="s">
        <v>46</v>
      </c>
      <c r="B81" s="195">
        <f>AVERAGE(B66,B68,B72)</f>
        <v>48.75733832707869</v>
      </c>
      <c r="C81" s="158">
        <f>AVERAGE(C66,C68,C72)</f>
        <v>33.02281171951963</v>
      </c>
      <c r="D81" s="158">
        <f>AVERAGE(D66,D68,D72)</f>
        <v>11.625405417034221</v>
      </c>
      <c r="E81" s="158">
        <f>AVERAGE(E66,E68,E72)</f>
        <v>5.564444536367457</v>
      </c>
      <c r="F81" s="158"/>
      <c r="G81" s="157"/>
      <c r="H81" s="157"/>
      <c r="I81" s="195">
        <f>AVERAGE(I66,I68,I72,I76,I80)</f>
        <v>12.457640335755077</v>
      </c>
      <c r="J81" s="158">
        <f>AVERAGE(-J66,J68,J72,J76,-J80)</f>
        <v>1.165219082667577</v>
      </c>
      <c r="K81" s="170" t="s">
        <v>50</v>
      </c>
      <c r="L81" s="158">
        <f>AVERAGE(L66,L68,L72,L76,L80)</f>
        <v>13.519609860179411</v>
      </c>
      <c r="M81" s="158">
        <f>AVERAGE(M66,M68,-M72,M76,-M80)</f>
        <v>1.7696098601794112</v>
      </c>
      <c r="N81" s="193" t="s">
        <v>50</v>
      </c>
    </row>
    <row r="82" spans="1:14" ht="12">
      <c r="A82" s="194" t="s">
        <v>88</v>
      </c>
      <c r="B82" s="195"/>
      <c r="C82" s="158"/>
      <c r="D82" s="158"/>
      <c r="E82" s="158"/>
      <c r="F82" s="158"/>
      <c r="G82" s="157"/>
      <c r="H82" s="157">
        <v>5</v>
      </c>
      <c r="I82" s="195">
        <f>H82*I81</f>
        <v>62.28820167877538</v>
      </c>
      <c r="J82" s="158">
        <f>H82*J81</f>
        <v>5.826095413337885</v>
      </c>
      <c r="K82" s="170" t="s">
        <v>50</v>
      </c>
      <c r="L82" s="158"/>
      <c r="M82" s="42">
        <f>AVERAGE(M66,M68,M72,M76,M80)</f>
        <v>5.382515713339535</v>
      </c>
      <c r="N82" s="193"/>
    </row>
    <row r="86" spans="1:14" ht="12">
      <c r="A86" s="267" t="s">
        <v>131</v>
      </c>
      <c r="B86" s="275" t="s">
        <v>370</v>
      </c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7"/>
    </row>
    <row r="87" spans="1:16" ht="12">
      <c r="A87" s="268"/>
      <c r="B87" s="49" t="s">
        <v>76</v>
      </c>
      <c r="C87" s="48" t="s">
        <v>102</v>
      </c>
      <c r="D87" s="48" t="s">
        <v>116</v>
      </c>
      <c r="E87" s="48"/>
      <c r="F87" s="48"/>
      <c r="G87" s="48" t="s">
        <v>66</v>
      </c>
      <c r="H87" s="48" t="s">
        <v>67</v>
      </c>
      <c r="I87" s="151" t="s">
        <v>26</v>
      </c>
      <c r="J87" s="39"/>
      <c r="K87" s="40"/>
      <c r="L87" s="48" t="s">
        <v>104</v>
      </c>
      <c r="M87" s="308" t="s">
        <v>326</v>
      </c>
      <c r="N87" s="309"/>
      <c r="P87" s="149" t="s">
        <v>55</v>
      </c>
    </row>
    <row r="88" spans="1:16" ht="12">
      <c r="A88" s="190" t="s">
        <v>348</v>
      </c>
      <c r="B88" s="190">
        <v>40</v>
      </c>
      <c r="C88" s="185">
        <v>42.35</v>
      </c>
      <c r="D88" s="185">
        <v>16.8</v>
      </c>
      <c r="E88" s="222"/>
      <c r="F88" s="222"/>
      <c r="G88" s="185">
        <f>B88+C88+D88+E88</f>
        <v>99.14999999999999</v>
      </c>
      <c r="H88" s="185"/>
      <c r="I88" s="198"/>
      <c r="J88" s="39"/>
      <c r="K88" s="40"/>
      <c r="L88" s="225">
        <f>C88-B88</f>
        <v>2.3500000000000014</v>
      </c>
      <c r="M88" s="185"/>
      <c r="N88" s="177"/>
      <c r="P88" s="150" t="s">
        <v>180</v>
      </c>
    </row>
    <row r="89" spans="1:16" ht="12">
      <c r="A89" s="198" t="s">
        <v>137</v>
      </c>
      <c r="B89" s="190">
        <v>49</v>
      </c>
      <c r="C89" s="185">
        <v>38</v>
      </c>
      <c r="D89" s="185">
        <v>9</v>
      </c>
      <c r="E89" s="222"/>
      <c r="F89" s="222"/>
      <c r="G89" s="185">
        <f>B89+C89+D89+E89</f>
        <v>96</v>
      </c>
      <c r="H89" s="186">
        <f>G88/G89</f>
        <v>1.0328125</v>
      </c>
      <c r="I89" s="226"/>
      <c r="J89" s="39"/>
      <c r="K89" s="40"/>
      <c r="L89" s="36"/>
      <c r="M89" s="35"/>
      <c r="N89" s="40"/>
      <c r="P89" s="150" t="s">
        <v>178</v>
      </c>
    </row>
    <row r="90" spans="1:14" ht="12">
      <c r="A90" s="154" t="s">
        <v>68</v>
      </c>
      <c r="B90" s="36">
        <f>B89*H89</f>
        <v>50.607812499999994</v>
      </c>
      <c r="C90" s="37">
        <f>C89*H89</f>
        <v>39.246874999999996</v>
      </c>
      <c r="D90" s="37">
        <f>D89*H89</f>
        <v>9.2953125</v>
      </c>
      <c r="E90" s="37"/>
      <c r="F90" s="37"/>
      <c r="G90" s="35"/>
      <c r="H90" s="35"/>
      <c r="I90" s="217">
        <f>ABS(B88-B90)+ABS(C88-C90)+ABS(D88-D90)</f>
        <v>21.215625000000003</v>
      </c>
      <c r="J90" s="39"/>
      <c r="K90" s="40"/>
      <c r="L90" s="36">
        <f>C90-B90</f>
        <v>-11.360937499999999</v>
      </c>
      <c r="M90" s="37">
        <f>ABS(L90-L88)</f>
        <v>13.7109375</v>
      </c>
      <c r="N90" s="40"/>
    </row>
    <row r="91" spans="1:16" ht="12">
      <c r="A91" s="152" t="s">
        <v>117</v>
      </c>
      <c r="B91" s="39">
        <v>49</v>
      </c>
      <c r="C91" s="35">
        <v>30</v>
      </c>
      <c r="D91" s="35">
        <v>10</v>
      </c>
      <c r="E91" s="35"/>
      <c r="F91" s="35"/>
      <c r="G91" s="35">
        <f>B91+C91+D91+E91</f>
        <v>89</v>
      </c>
      <c r="H91" s="37">
        <f>G88/G91</f>
        <v>1.1140449438202247</v>
      </c>
      <c r="I91" s="152"/>
      <c r="J91" s="39"/>
      <c r="K91" s="40"/>
      <c r="L91" s="39"/>
      <c r="M91" s="35"/>
      <c r="N91" s="40"/>
      <c r="P91" s="150" t="s">
        <v>177</v>
      </c>
    </row>
    <row r="92" spans="1:14" ht="12">
      <c r="A92" s="230" t="s">
        <v>68</v>
      </c>
      <c r="B92" s="41">
        <f>B91*H91</f>
        <v>54.588202247191006</v>
      </c>
      <c r="C92" s="42">
        <f>C91*H91</f>
        <v>33.42134831460674</v>
      </c>
      <c r="D92" s="42">
        <f>D91*H91</f>
        <v>11.140449438202246</v>
      </c>
      <c r="E92" s="42"/>
      <c r="F92" s="42"/>
      <c r="G92" s="157"/>
      <c r="H92" s="157"/>
      <c r="I92" s="227">
        <f>ABS(B88-B92)+ABS(C88-C92)+ABS(D88-D92)</f>
        <v>29.176404494382023</v>
      </c>
      <c r="J92" s="39"/>
      <c r="K92" s="40"/>
      <c r="L92" s="36">
        <f>C92-B92</f>
        <v>-21.166853932584267</v>
      </c>
      <c r="M92" s="37">
        <f>ABS(L92-L88)</f>
        <v>23.51685393258427</v>
      </c>
      <c r="N92" s="40"/>
    </row>
    <row r="93" spans="1:14" ht="12">
      <c r="A93" s="175" t="s">
        <v>46</v>
      </c>
      <c r="B93" s="234">
        <f>AVERAGE(B90,B92)</f>
        <v>52.5980073735955</v>
      </c>
      <c r="C93" s="145">
        <f>AVERAGE(C90,C92)</f>
        <v>36.33411165730337</v>
      </c>
      <c r="D93" s="145">
        <f>AVERAGE(D90,D92)</f>
        <v>10.217880969101124</v>
      </c>
      <c r="E93" s="145"/>
      <c r="F93" s="145"/>
      <c r="G93" s="35"/>
      <c r="H93" s="35"/>
      <c r="I93" s="235">
        <f>AVERAGE(I90,I92)</f>
        <v>25.196014747191015</v>
      </c>
      <c r="J93" s="39"/>
      <c r="K93" s="233"/>
      <c r="L93" s="196">
        <f>AVERAGE(L90,L92)</f>
        <v>-16.263895716292133</v>
      </c>
      <c r="M93" s="166">
        <f>AVERAGE(M90,M92)</f>
        <v>18.613895716292134</v>
      </c>
      <c r="N93" s="180"/>
    </row>
    <row r="94" spans="1:14" ht="12">
      <c r="A94" s="236" t="s">
        <v>88</v>
      </c>
      <c r="B94" s="196"/>
      <c r="C94" s="166"/>
      <c r="D94" s="166"/>
      <c r="E94" s="166"/>
      <c r="F94" s="166"/>
      <c r="G94" s="165"/>
      <c r="H94" s="165">
        <v>2</v>
      </c>
      <c r="I94" s="237">
        <f>H94*I93</f>
        <v>50.39202949438203</v>
      </c>
      <c r="J94" s="172"/>
      <c r="K94" s="224"/>
      <c r="L94" s="158"/>
      <c r="M94" s="168"/>
      <c r="N94" s="170"/>
    </row>
    <row r="95" spans="1:16" ht="12">
      <c r="A95" s="152" t="s">
        <v>197</v>
      </c>
      <c r="B95" s="35">
        <v>52</v>
      </c>
      <c r="C95" s="35">
        <v>38</v>
      </c>
      <c r="D95" s="35">
        <v>10</v>
      </c>
      <c r="E95" s="35"/>
      <c r="F95" s="35"/>
      <c r="G95" s="35"/>
      <c r="H95" s="35"/>
      <c r="I95" s="37">
        <f>ABS(B88-B95)+ABS(C88-C95)+ABS(D88-D95)</f>
        <v>23.150000000000002</v>
      </c>
      <c r="J95" s="35"/>
      <c r="K95" s="35"/>
      <c r="L95" s="207">
        <f>C95-B95</f>
        <v>-14</v>
      </c>
      <c r="M95" s="37">
        <f>ABS(L95-L88)</f>
        <v>16.35</v>
      </c>
      <c r="N95" s="40"/>
      <c r="P95" s="150" t="s">
        <v>179</v>
      </c>
    </row>
    <row r="96" spans="1:14" ht="12">
      <c r="A96" s="208" t="s">
        <v>198</v>
      </c>
      <c r="B96" s="157">
        <v>41</v>
      </c>
      <c r="C96" s="157">
        <v>46</v>
      </c>
      <c r="D96" s="157">
        <v>13</v>
      </c>
      <c r="E96" s="157"/>
      <c r="F96" s="157"/>
      <c r="G96" s="157"/>
      <c r="H96" s="157"/>
      <c r="I96" s="42">
        <f>ABS(B88-B96)+ABS(C88-C96)+ABS(D88-D96)</f>
        <v>8.45</v>
      </c>
      <c r="J96" s="157"/>
      <c r="K96" s="157"/>
      <c r="L96" s="209">
        <f>C96-B96</f>
        <v>5</v>
      </c>
      <c r="M96" s="42">
        <f>ABS(L96-L88)</f>
        <v>2.6499999999999986</v>
      </c>
      <c r="N96" s="193"/>
    </row>
    <row r="100" spans="1:14" ht="12">
      <c r="A100" s="267" t="s">
        <v>209</v>
      </c>
      <c r="B100" s="275" t="s">
        <v>119</v>
      </c>
      <c r="C100" s="276"/>
      <c r="D100" s="276"/>
      <c r="E100" s="276"/>
      <c r="F100" s="276"/>
      <c r="G100" s="276"/>
      <c r="H100" s="276"/>
      <c r="I100" s="276"/>
      <c r="J100" s="276"/>
      <c r="K100" s="276"/>
      <c r="L100" s="277"/>
      <c r="M100" s="206"/>
      <c r="N100" s="206"/>
    </row>
    <row r="101" spans="1:16" ht="12">
      <c r="A101" s="268"/>
      <c r="B101" s="171" t="s">
        <v>120</v>
      </c>
      <c r="C101" s="176" t="s">
        <v>121</v>
      </c>
      <c r="D101" s="176"/>
      <c r="E101" s="176"/>
      <c r="F101" s="176"/>
      <c r="G101" s="176" t="s">
        <v>66</v>
      </c>
      <c r="H101" s="187" t="s">
        <v>67</v>
      </c>
      <c r="I101" s="48" t="s">
        <v>26</v>
      </c>
      <c r="J101" s="314" t="s">
        <v>49</v>
      </c>
      <c r="K101" s="314"/>
      <c r="L101" s="151" t="s">
        <v>104</v>
      </c>
      <c r="M101" s="50"/>
      <c r="N101" s="50"/>
      <c r="P101" s="149" t="s">
        <v>55</v>
      </c>
    </row>
    <row r="102" spans="1:16" ht="12">
      <c r="A102" s="190" t="s">
        <v>348</v>
      </c>
      <c r="B102" s="190">
        <v>39.7</v>
      </c>
      <c r="C102" s="185">
        <v>59.5</v>
      </c>
      <c r="D102" s="185"/>
      <c r="E102" s="222"/>
      <c r="F102" s="222"/>
      <c r="G102" s="185">
        <f>B102+C102+D102+E102</f>
        <v>99.2</v>
      </c>
      <c r="H102" s="177"/>
      <c r="I102" s="185"/>
      <c r="J102" s="185"/>
      <c r="K102" s="185"/>
      <c r="L102" s="226">
        <f>C102-B102</f>
        <v>19.799999999999997</v>
      </c>
      <c r="M102" s="50"/>
      <c r="N102" s="50"/>
      <c r="P102" s="150" t="s">
        <v>184</v>
      </c>
    </row>
    <row r="103" spans="1:16" ht="12">
      <c r="A103" s="190" t="s">
        <v>122</v>
      </c>
      <c r="B103" s="190">
        <v>41</v>
      </c>
      <c r="C103" s="185">
        <v>49</v>
      </c>
      <c r="D103" s="185"/>
      <c r="E103" s="222"/>
      <c r="F103" s="222"/>
      <c r="G103" s="185">
        <f>B103+C103</f>
        <v>90</v>
      </c>
      <c r="H103" s="223">
        <f>G102/G103</f>
        <v>1.1022222222222222</v>
      </c>
      <c r="I103" s="186"/>
      <c r="J103" s="185"/>
      <c r="K103" s="185"/>
      <c r="L103" s="226"/>
      <c r="M103" s="50"/>
      <c r="N103" s="50"/>
      <c r="P103" s="150" t="s">
        <v>181</v>
      </c>
    </row>
    <row r="104" spans="1:14" ht="12">
      <c r="A104" s="49" t="s">
        <v>68</v>
      </c>
      <c r="B104" s="36">
        <f>B103*H103</f>
        <v>45.19111111111111</v>
      </c>
      <c r="C104" s="37">
        <f>C103*H103</f>
        <v>54.00888888888889</v>
      </c>
      <c r="D104" s="37"/>
      <c r="E104" s="37"/>
      <c r="F104" s="37"/>
      <c r="G104" s="35"/>
      <c r="H104" s="40"/>
      <c r="I104" s="37">
        <f>ABS(B102-B104)+ABS(C102-C104)</f>
        <v>10.98222222222222</v>
      </c>
      <c r="J104" s="37">
        <f>ABS((B102-B104)+(C104-C102)+(D102-D104))</f>
        <v>10.98222222222222</v>
      </c>
      <c r="K104" s="48" t="s">
        <v>51</v>
      </c>
      <c r="L104" s="217">
        <f>C104-B104</f>
        <v>8.817777777777778</v>
      </c>
      <c r="M104" s="50"/>
      <c r="N104" s="50"/>
    </row>
    <row r="105" spans="1:16" ht="12">
      <c r="A105" s="39" t="s">
        <v>136</v>
      </c>
      <c r="B105" s="39">
        <v>44</v>
      </c>
      <c r="C105" s="35">
        <v>47.5</v>
      </c>
      <c r="D105" s="35"/>
      <c r="E105" s="35"/>
      <c r="F105" s="35"/>
      <c r="G105" s="35">
        <f>B105+C105</f>
        <v>91.5</v>
      </c>
      <c r="H105" s="207">
        <f>G102/G105</f>
        <v>1.084153005464481</v>
      </c>
      <c r="I105" s="35"/>
      <c r="J105" s="35"/>
      <c r="K105" s="35"/>
      <c r="L105" s="152"/>
      <c r="M105" s="50"/>
      <c r="N105" s="50"/>
      <c r="P105" s="150" t="s">
        <v>181</v>
      </c>
    </row>
    <row r="106" spans="1:14" ht="12">
      <c r="A106" s="49" t="s">
        <v>68</v>
      </c>
      <c r="B106" s="36">
        <f>B105*H105</f>
        <v>47.702732240437165</v>
      </c>
      <c r="C106" s="37">
        <f>C105*H105</f>
        <v>51.497267759562845</v>
      </c>
      <c r="D106" s="37"/>
      <c r="E106" s="37"/>
      <c r="F106" s="37"/>
      <c r="G106" s="35"/>
      <c r="H106" s="40"/>
      <c r="I106" s="37">
        <f>ABS(B102-B106)+ABS(C102-C106)</f>
        <v>16.005464480874316</v>
      </c>
      <c r="J106" s="37">
        <f>ABS((B102-B106)+(C106-C102)+(D102-D106))</f>
        <v>16.005464480874316</v>
      </c>
      <c r="K106" s="48" t="s">
        <v>51</v>
      </c>
      <c r="L106" s="217">
        <f>C106-B106</f>
        <v>3.794535519125681</v>
      </c>
      <c r="M106" s="50"/>
      <c r="N106" s="50"/>
    </row>
    <row r="107" spans="1:16" ht="12">
      <c r="A107" s="39" t="s">
        <v>133</v>
      </c>
      <c r="B107" s="39">
        <v>43</v>
      </c>
      <c r="C107" s="35">
        <v>47</v>
      </c>
      <c r="D107" s="35"/>
      <c r="E107" s="35"/>
      <c r="F107" s="35"/>
      <c r="G107" s="35">
        <f>B107+C107</f>
        <v>90</v>
      </c>
      <c r="H107" s="207">
        <f>G102/G107</f>
        <v>1.1022222222222222</v>
      </c>
      <c r="I107" s="35"/>
      <c r="J107" s="35"/>
      <c r="K107" s="35"/>
      <c r="L107" s="152"/>
      <c r="M107" s="50"/>
      <c r="N107" s="50"/>
      <c r="P107" s="150" t="s">
        <v>183</v>
      </c>
    </row>
    <row r="108" spans="1:14" ht="12">
      <c r="A108" s="49" t="s">
        <v>68</v>
      </c>
      <c r="B108" s="36">
        <f>B107*H107</f>
        <v>47.39555555555555</v>
      </c>
      <c r="C108" s="37">
        <f>C107*H107</f>
        <v>51.80444444444444</v>
      </c>
      <c r="D108" s="37"/>
      <c r="E108" s="37"/>
      <c r="F108" s="37"/>
      <c r="G108" s="35"/>
      <c r="H108" s="40"/>
      <c r="I108" s="37">
        <f>ABS(B102-B108)+ABS(C102-C108)</f>
        <v>15.391111111111108</v>
      </c>
      <c r="J108" s="37">
        <f>ABS((B102-B108)+(C108-C102)+(D102-D108))</f>
        <v>15.391111111111108</v>
      </c>
      <c r="K108" s="48" t="s">
        <v>51</v>
      </c>
      <c r="L108" s="217">
        <f>C108-B108</f>
        <v>4.408888888888889</v>
      </c>
      <c r="M108" s="50"/>
      <c r="N108" s="50"/>
    </row>
    <row r="109" spans="1:16" ht="12">
      <c r="A109" s="39" t="s">
        <v>141</v>
      </c>
      <c r="B109" s="39">
        <v>36</v>
      </c>
      <c r="C109" s="35">
        <v>43</v>
      </c>
      <c r="D109" s="35"/>
      <c r="E109" s="35"/>
      <c r="F109" s="35"/>
      <c r="G109" s="35">
        <f>B109+C109</f>
        <v>79</v>
      </c>
      <c r="H109" s="207">
        <f>G102/G109</f>
        <v>1.2556962025316456</v>
      </c>
      <c r="I109" s="35"/>
      <c r="J109" s="35"/>
      <c r="K109" s="35"/>
      <c r="L109" s="152"/>
      <c r="M109" s="50"/>
      <c r="N109" s="50"/>
      <c r="P109" s="150" t="s">
        <v>182</v>
      </c>
    </row>
    <row r="110" spans="1:14" ht="12">
      <c r="A110" s="213" t="s">
        <v>68</v>
      </c>
      <c r="B110" s="41">
        <f>B109*H109</f>
        <v>45.20506329113924</v>
      </c>
      <c r="C110" s="42">
        <f>C109*H109</f>
        <v>53.99493670886076</v>
      </c>
      <c r="D110" s="42"/>
      <c r="E110" s="42"/>
      <c r="F110" s="42"/>
      <c r="G110" s="157"/>
      <c r="H110" s="193"/>
      <c r="I110" s="42">
        <f>ABS(B102-B110)+ABS(C102-C110)</f>
        <v>11.010126582278474</v>
      </c>
      <c r="J110" s="42">
        <f>ABS((B102-B110)+(C110-C102)+(D102-D110))</f>
        <v>11.010126582278474</v>
      </c>
      <c r="K110" s="168" t="s">
        <v>51</v>
      </c>
      <c r="L110" s="227">
        <f>C110-B110</f>
        <v>8.789873417721523</v>
      </c>
      <c r="M110" s="50"/>
      <c r="N110" s="50"/>
    </row>
    <row r="111" spans="1:14" ht="12">
      <c r="A111" s="191" t="s">
        <v>46</v>
      </c>
      <c r="B111" s="195">
        <f>AVERAGE(B104,B106,B108,B110)</f>
        <v>46.37361554956077</v>
      </c>
      <c r="C111" s="158">
        <f>AVERAGE(C104,C106,C108,C110)</f>
        <v>52.826384450439235</v>
      </c>
      <c r="D111" s="158"/>
      <c r="E111" s="158"/>
      <c r="F111" s="158"/>
      <c r="G111" s="157"/>
      <c r="H111" s="193"/>
      <c r="I111" s="158">
        <f>AVERAGE(I104,I106,I108,I110)</f>
        <v>13.34723109912153</v>
      </c>
      <c r="J111" s="158">
        <f>AVERAGE(J104,J106,J108,J110)</f>
        <v>13.34723109912153</v>
      </c>
      <c r="K111" s="168" t="s">
        <v>51</v>
      </c>
      <c r="L111" s="219">
        <f>AVERAGE(L104,L106,L108,L110)</f>
        <v>6.452768900878468</v>
      </c>
      <c r="M111" s="50"/>
      <c r="N111" s="50"/>
    </row>
    <row r="112" spans="1:14" ht="12">
      <c r="A112" s="194" t="s">
        <v>88</v>
      </c>
      <c r="B112" s="195"/>
      <c r="C112" s="158"/>
      <c r="D112" s="158"/>
      <c r="E112" s="158"/>
      <c r="F112" s="158"/>
      <c r="G112" s="157"/>
      <c r="H112" s="193">
        <v>4</v>
      </c>
      <c r="I112" s="158">
        <f>H112*I111</f>
        <v>53.38892439648612</v>
      </c>
      <c r="J112" s="158">
        <f>H112*J111</f>
        <v>53.38892439648612</v>
      </c>
      <c r="K112" s="168" t="s">
        <v>51</v>
      </c>
      <c r="L112" s="219"/>
      <c r="M112" s="50"/>
      <c r="N112" s="50"/>
    </row>
    <row r="116" spans="1:14" ht="12">
      <c r="A116" s="267" t="s">
        <v>232</v>
      </c>
      <c r="B116" s="275" t="s">
        <v>369</v>
      </c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7"/>
    </row>
    <row r="117" spans="1:16" ht="12">
      <c r="A117" s="268"/>
      <c r="B117" s="171" t="s">
        <v>63</v>
      </c>
      <c r="C117" s="176" t="s">
        <v>96</v>
      </c>
      <c r="D117" s="176" t="s">
        <v>97</v>
      </c>
      <c r="E117" s="176"/>
      <c r="F117" s="176"/>
      <c r="G117" s="176" t="s">
        <v>66</v>
      </c>
      <c r="H117" s="187" t="s">
        <v>67</v>
      </c>
      <c r="I117" s="171" t="s">
        <v>26</v>
      </c>
      <c r="J117" s="312" t="s">
        <v>49</v>
      </c>
      <c r="K117" s="313"/>
      <c r="L117" s="48" t="s">
        <v>104</v>
      </c>
      <c r="M117" s="308" t="s">
        <v>326</v>
      </c>
      <c r="N117" s="309"/>
      <c r="P117" s="149" t="s">
        <v>55</v>
      </c>
    </row>
    <row r="118" spans="1:16" ht="12">
      <c r="A118" s="190" t="s">
        <v>348</v>
      </c>
      <c r="B118" s="190">
        <v>55.88</v>
      </c>
      <c r="C118" s="185">
        <v>40.08</v>
      </c>
      <c r="D118" s="185">
        <v>3.46</v>
      </c>
      <c r="E118" s="222"/>
      <c r="F118" s="222"/>
      <c r="G118" s="185">
        <f>B118+C118+D118+E118</f>
        <v>99.42</v>
      </c>
      <c r="H118" s="177"/>
      <c r="I118" s="190"/>
      <c r="J118" s="185"/>
      <c r="K118" s="177"/>
      <c r="L118" s="186">
        <f>B118-C118</f>
        <v>15.800000000000004</v>
      </c>
      <c r="M118" s="185"/>
      <c r="N118" s="177"/>
      <c r="P118" s="150" t="s">
        <v>190</v>
      </c>
    </row>
    <row r="119" spans="1:16" ht="12">
      <c r="A119" s="190" t="s">
        <v>332</v>
      </c>
      <c r="B119" s="190">
        <v>61</v>
      </c>
      <c r="C119" s="185">
        <v>39</v>
      </c>
      <c r="D119" s="185">
        <v>0</v>
      </c>
      <c r="E119" s="222"/>
      <c r="F119" s="222"/>
      <c r="G119" s="185">
        <f>B119+C119+D119+E119</f>
        <v>100</v>
      </c>
      <c r="H119" s="223">
        <f>G118/G119</f>
        <v>0.9942</v>
      </c>
      <c r="I119" s="225"/>
      <c r="J119" s="185"/>
      <c r="K119" s="177"/>
      <c r="L119" s="186"/>
      <c r="M119" s="185"/>
      <c r="N119" s="177"/>
      <c r="P119" s="150" t="s">
        <v>189</v>
      </c>
    </row>
    <row r="120" spans="1:14" ht="12">
      <c r="A120" s="49" t="s">
        <v>68</v>
      </c>
      <c r="B120" s="36">
        <f>B119*H119</f>
        <v>60.6462</v>
      </c>
      <c r="C120" s="37">
        <f>C119*H119</f>
        <v>38.7738</v>
      </c>
      <c r="D120" s="37">
        <f>D119*H119</f>
        <v>0</v>
      </c>
      <c r="E120" s="37"/>
      <c r="F120" s="37"/>
      <c r="G120" s="35"/>
      <c r="H120" s="40"/>
      <c r="I120" s="36">
        <f>ABS(B118-B120)+ABS(C118-C120)+ABS(D118-D120)</f>
        <v>9.532399999999996</v>
      </c>
      <c r="J120" s="37">
        <f>ABS((B118-B120)+(C120-C118)+(D120-D118))</f>
        <v>9.532399999999996</v>
      </c>
      <c r="K120" s="153" t="s">
        <v>51</v>
      </c>
      <c r="L120" s="37">
        <f>B120-C120</f>
        <v>21.8724</v>
      </c>
      <c r="M120" s="37">
        <f>ABS(L120-L118)</f>
        <v>6.072399999999995</v>
      </c>
      <c r="N120" s="40" t="s">
        <v>51</v>
      </c>
    </row>
    <row r="121" spans="1:16" ht="12">
      <c r="A121" s="39" t="s">
        <v>186</v>
      </c>
      <c r="B121" s="39">
        <v>47</v>
      </c>
      <c r="C121" s="35">
        <v>30.9</v>
      </c>
      <c r="D121" s="35">
        <v>0</v>
      </c>
      <c r="E121" s="35"/>
      <c r="F121" s="35"/>
      <c r="G121" s="35">
        <f>B121+C121+D121+E121</f>
        <v>77.9</v>
      </c>
      <c r="H121" s="207">
        <f>G118/G121</f>
        <v>1.2762516046213093</v>
      </c>
      <c r="I121" s="39"/>
      <c r="J121" s="35"/>
      <c r="K121" s="40"/>
      <c r="L121" s="35"/>
      <c r="M121" s="35"/>
      <c r="N121" s="40"/>
      <c r="P121" s="150" t="s">
        <v>185</v>
      </c>
    </row>
    <row r="122" spans="1:14" ht="12">
      <c r="A122" s="49" t="s">
        <v>68</v>
      </c>
      <c r="B122" s="36">
        <f>B121*H121</f>
        <v>59.98382541720154</v>
      </c>
      <c r="C122" s="37">
        <f>C121*H121</f>
        <v>39.43617458279846</v>
      </c>
      <c r="D122" s="37">
        <f>D121*H121</f>
        <v>0</v>
      </c>
      <c r="E122" s="37"/>
      <c r="F122" s="37"/>
      <c r="G122" s="35"/>
      <c r="H122" s="40"/>
      <c r="I122" s="36">
        <f>ABS(B118-B122)+ABS(C118-C122)+ABS(D118-D122)</f>
        <v>8.207650834403076</v>
      </c>
      <c r="J122" s="37">
        <f>ABS((B118-B122)+(C122-C118)+(D122-D118))</f>
        <v>8.207650834403076</v>
      </c>
      <c r="K122" s="153" t="s">
        <v>51</v>
      </c>
      <c r="L122" s="37">
        <f>B122-C122</f>
        <v>20.54765083440308</v>
      </c>
      <c r="M122" s="37">
        <f>ABS(L122-L118)</f>
        <v>4.747650834403075</v>
      </c>
      <c r="N122" s="40" t="s">
        <v>51</v>
      </c>
    </row>
    <row r="123" spans="1:16" ht="12">
      <c r="A123" s="39" t="s">
        <v>135</v>
      </c>
      <c r="B123" s="39">
        <v>56</v>
      </c>
      <c r="C123" s="35">
        <v>38</v>
      </c>
      <c r="D123" s="35">
        <v>1</v>
      </c>
      <c r="E123" s="35"/>
      <c r="F123" s="35"/>
      <c r="G123" s="35">
        <f>B123+C123+D123+E123</f>
        <v>95</v>
      </c>
      <c r="H123" s="207">
        <f>G118/G123</f>
        <v>1.0465263157894737</v>
      </c>
      <c r="I123" s="39"/>
      <c r="J123" s="35"/>
      <c r="K123" s="40"/>
      <c r="L123" s="35"/>
      <c r="M123" s="35"/>
      <c r="N123" s="40"/>
      <c r="P123" s="150" t="s">
        <v>185</v>
      </c>
    </row>
    <row r="124" spans="1:14" ht="12">
      <c r="A124" s="49" t="s">
        <v>68</v>
      </c>
      <c r="B124" s="36">
        <f>B123*H123</f>
        <v>58.60547368421053</v>
      </c>
      <c r="C124" s="37">
        <f>C123*H123</f>
        <v>39.768</v>
      </c>
      <c r="D124" s="37">
        <f>D123*H123</f>
        <v>1.0465263157894737</v>
      </c>
      <c r="E124" s="37"/>
      <c r="F124" s="37"/>
      <c r="G124" s="35"/>
      <c r="H124" s="40"/>
      <c r="I124" s="36">
        <f>ABS(B118-B124)+ABS(C118-C124)+ABS(D118-D124)</f>
        <v>5.450947368421051</v>
      </c>
      <c r="J124" s="37">
        <f>ABS((B118-B124)+(C124-C118)+(D124-D118))</f>
        <v>5.450947368421051</v>
      </c>
      <c r="K124" s="153" t="s">
        <v>51</v>
      </c>
      <c r="L124" s="37">
        <f>B124-C124</f>
        <v>18.83747368421053</v>
      </c>
      <c r="M124" s="37">
        <f>ABS(L124-L118)</f>
        <v>3.037473684210525</v>
      </c>
      <c r="N124" s="40" t="s">
        <v>51</v>
      </c>
    </row>
    <row r="125" spans="1:16" ht="12">
      <c r="A125" s="39" t="s">
        <v>129</v>
      </c>
      <c r="B125" s="39">
        <v>41</v>
      </c>
      <c r="C125" s="35">
        <v>34</v>
      </c>
      <c r="D125" s="35">
        <v>0</v>
      </c>
      <c r="E125" s="35"/>
      <c r="F125" s="35"/>
      <c r="G125" s="35">
        <f>B125+C125+D125+E125</f>
        <v>75</v>
      </c>
      <c r="H125" s="207">
        <f>G118/G125</f>
        <v>1.3256000000000001</v>
      </c>
      <c r="I125" s="39"/>
      <c r="J125" s="35"/>
      <c r="K125" s="40"/>
      <c r="L125" s="35"/>
      <c r="M125" s="35"/>
      <c r="N125" s="40"/>
      <c r="P125" s="150" t="s">
        <v>185</v>
      </c>
    </row>
    <row r="126" spans="1:14" ht="12">
      <c r="A126" s="49" t="s">
        <v>68</v>
      </c>
      <c r="B126" s="36">
        <f>B125*H125</f>
        <v>54.3496</v>
      </c>
      <c r="C126" s="37">
        <f>C125*H125</f>
        <v>45.07040000000001</v>
      </c>
      <c r="D126" s="37">
        <f>D125*H125</f>
        <v>0</v>
      </c>
      <c r="E126" s="37"/>
      <c r="F126" s="37"/>
      <c r="G126" s="35"/>
      <c r="H126" s="40"/>
      <c r="I126" s="36">
        <f>ABS(B118-B126)+ABS(C118-C126)+ABS(D118-D126)</f>
        <v>9.98080000000001</v>
      </c>
      <c r="J126" s="37">
        <f>ABS((B118-B126)+(C126-C118)+(D126-D118))</f>
        <v>3.0608000000000084</v>
      </c>
      <c r="K126" s="153" t="s">
        <v>50</v>
      </c>
      <c r="L126" s="37">
        <f>B126-C126</f>
        <v>9.279199999999996</v>
      </c>
      <c r="M126" s="37">
        <f>ABS(L126-L118)</f>
        <v>6.520800000000008</v>
      </c>
      <c r="N126" s="40" t="s">
        <v>50</v>
      </c>
    </row>
    <row r="127" spans="1:16" ht="12">
      <c r="A127" s="39" t="s">
        <v>142</v>
      </c>
      <c r="B127" s="39">
        <v>61</v>
      </c>
      <c r="C127" s="35">
        <v>37</v>
      </c>
      <c r="D127" s="35">
        <v>2</v>
      </c>
      <c r="E127" s="35"/>
      <c r="F127" s="35"/>
      <c r="G127" s="35">
        <f>B127+C127+D127+E127</f>
        <v>100</v>
      </c>
      <c r="H127" s="207">
        <f>G118/G127</f>
        <v>0.9942</v>
      </c>
      <c r="I127" s="39"/>
      <c r="J127" s="35"/>
      <c r="K127" s="40"/>
      <c r="L127" s="35"/>
      <c r="M127" s="35"/>
      <c r="N127" s="40"/>
      <c r="P127" s="150" t="s">
        <v>188</v>
      </c>
    </row>
    <row r="128" spans="1:14" ht="12">
      <c r="A128" s="49" t="s">
        <v>68</v>
      </c>
      <c r="B128" s="36">
        <f>B127*H127</f>
        <v>60.6462</v>
      </c>
      <c r="C128" s="37">
        <f>C127*H127</f>
        <v>36.785399999999996</v>
      </c>
      <c r="D128" s="37">
        <f>D127*H127</f>
        <v>1.9884</v>
      </c>
      <c r="E128" s="37"/>
      <c r="F128" s="37"/>
      <c r="G128" s="35"/>
      <c r="H128" s="40"/>
      <c r="I128" s="36">
        <f>ABS(B118-B128)+ABS(C118-C128)+ABS(D118-D128)</f>
        <v>9.5324</v>
      </c>
      <c r="J128" s="37">
        <f>ABS((B118-B128)+(C128-C118)+(D128-D118))</f>
        <v>9.5324</v>
      </c>
      <c r="K128" s="153" t="s">
        <v>51</v>
      </c>
      <c r="L128" s="37">
        <f>B128-C128</f>
        <v>23.860800000000005</v>
      </c>
      <c r="M128" s="37">
        <f>ABS(L128-L118)</f>
        <v>8.0608</v>
      </c>
      <c r="N128" s="40" t="s">
        <v>51</v>
      </c>
    </row>
    <row r="129" spans="1:16" ht="12">
      <c r="A129" s="39" t="s">
        <v>128</v>
      </c>
      <c r="B129" s="39">
        <v>54</v>
      </c>
      <c r="C129" s="35">
        <v>32</v>
      </c>
      <c r="D129" s="35">
        <v>0</v>
      </c>
      <c r="E129" s="35"/>
      <c r="F129" s="35"/>
      <c r="G129" s="35">
        <f>B129+C129+D129+E129</f>
        <v>86</v>
      </c>
      <c r="H129" s="207">
        <f>G118/G129</f>
        <v>1.156046511627907</v>
      </c>
      <c r="I129" s="39"/>
      <c r="J129" s="35"/>
      <c r="K129" s="40"/>
      <c r="L129" s="35"/>
      <c r="M129" s="35"/>
      <c r="N129" s="40"/>
      <c r="P129" s="150" t="s">
        <v>187</v>
      </c>
    </row>
    <row r="130" spans="1:14" ht="12">
      <c r="A130" s="213" t="s">
        <v>68</v>
      </c>
      <c r="B130" s="41">
        <f>B129*H129</f>
        <v>62.42651162790698</v>
      </c>
      <c r="C130" s="42">
        <f>C129*H129</f>
        <v>36.993488372093026</v>
      </c>
      <c r="D130" s="42">
        <f>D129*H129</f>
        <v>0</v>
      </c>
      <c r="E130" s="42"/>
      <c r="F130" s="42"/>
      <c r="G130" s="157"/>
      <c r="H130" s="193"/>
      <c r="I130" s="41">
        <f>ABS(B118-B130)+ABS(C118-C130)+ABS(D118-D130)</f>
        <v>13.093023255813954</v>
      </c>
      <c r="J130" s="42">
        <f>ABS((B118-B130)+(C130-C118)+(D130-D118))</f>
        <v>13.093023255813954</v>
      </c>
      <c r="K130" s="170" t="s">
        <v>51</v>
      </c>
      <c r="L130" s="37">
        <f>B130-C130</f>
        <v>25.433023255813957</v>
      </c>
      <c r="M130" s="37">
        <f>ABS(L130-L118)</f>
        <v>9.633023255813953</v>
      </c>
      <c r="N130" s="40" t="s">
        <v>51</v>
      </c>
    </row>
    <row r="131" spans="1:14" ht="12">
      <c r="A131" s="191" t="s">
        <v>46</v>
      </c>
      <c r="B131" s="195">
        <f>AVERAGE(B120,B122,B124,B126,B128,B130)</f>
        <v>59.44296845488651</v>
      </c>
      <c r="C131" s="158">
        <f>AVERAGE(C120,C122,C124,C126,C128,C130)</f>
        <v>39.471210492481916</v>
      </c>
      <c r="D131" s="158">
        <f>AVERAGE(D120,D122,D124,D126,D128,D130)</f>
        <v>0.505821052631579</v>
      </c>
      <c r="E131" s="158"/>
      <c r="F131" s="158"/>
      <c r="G131" s="157"/>
      <c r="H131" s="193"/>
      <c r="I131" s="195">
        <f>AVERAGE(I120,I122,I124,I126,I128,I130)</f>
        <v>9.299536909773016</v>
      </c>
      <c r="J131" s="158">
        <f>AVERAGE(J120,J122,J124,-J126,J128,J130)</f>
        <v>7.125936909773011</v>
      </c>
      <c r="K131" s="170" t="s">
        <v>51</v>
      </c>
      <c r="L131" s="196">
        <f>AVERAGE(L120,L122,L124,L126,L128,L130)</f>
        <v>19.971757962404595</v>
      </c>
      <c r="M131" s="166">
        <f>AVERAGE(M120,M122,M124,-M126,M128,M130)</f>
        <v>4.17175796240459</v>
      </c>
      <c r="N131" s="162"/>
    </row>
    <row r="132" spans="1:14" ht="12">
      <c r="A132" s="194" t="s">
        <v>88</v>
      </c>
      <c r="B132" s="195"/>
      <c r="C132" s="158"/>
      <c r="D132" s="158"/>
      <c r="E132" s="158"/>
      <c r="F132" s="158"/>
      <c r="G132" s="157"/>
      <c r="H132" s="193">
        <v>6</v>
      </c>
      <c r="I132" s="195">
        <f>H132*I131</f>
        <v>55.79722145863809</v>
      </c>
      <c r="J132" s="158">
        <f>H132*J131</f>
        <v>42.75562145863807</v>
      </c>
      <c r="K132" s="170" t="s">
        <v>51</v>
      </c>
      <c r="L132" s="158"/>
      <c r="M132" s="42">
        <f>AVERAGE(M120,M122,M124,M126,M128,M130)</f>
        <v>6.345357962404592</v>
      </c>
      <c r="N132" s="193"/>
    </row>
    <row r="136" spans="1:14" ht="12">
      <c r="A136" s="267" t="s">
        <v>233</v>
      </c>
      <c r="B136" s="275" t="s">
        <v>368</v>
      </c>
      <c r="C136" s="276"/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7"/>
    </row>
    <row r="137" spans="1:14" ht="12">
      <c r="A137" s="268"/>
      <c r="B137" s="171" t="s">
        <v>125</v>
      </c>
      <c r="C137" s="176" t="s">
        <v>126</v>
      </c>
      <c r="D137" s="176" t="s">
        <v>127</v>
      </c>
      <c r="E137" s="176"/>
      <c r="F137" s="176"/>
      <c r="G137" s="176" t="s">
        <v>66</v>
      </c>
      <c r="H137" s="187" t="s">
        <v>67</v>
      </c>
      <c r="I137" s="48" t="s">
        <v>26</v>
      </c>
      <c r="J137" s="314" t="s">
        <v>49</v>
      </c>
      <c r="K137" s="314"/>
      <c r="L137" s="171" t="s">
        <v>104</v>
      </c>
      <c r="M137" s="310" t="s">
        <v>326</v>
      </c>
      <c r="N137" s="311"/>
    </row>
    <row r="138" spans="1:16" ht="12">
      <c r="A138" s="190" t="s">
        <v>348</v>
      </c>
      <c r="B138" s="190">
        <v>53.5</v>
      </c>
      <c r="C138" s="185">
        <v>38.3</v>
      </c>
      <c r="D138" s="185">
        <v>7.2</v>
      </c>
      <c r="E138" s="222"/>
      <c r="F138" s="222"/>
      <c r="G138" s="185">
        <f>B138+C138+D138+E138</f>
        <v>99</v>
      </c>
      <c r="H138" s="177"/>
      <c r="I138" s="185"/>
      <c r="J138" s="185"/>
      <c r="K138" s="185"/>
      <c r="L138" s="225">
        <f>B138-C138</f>
        <v>15.200000000000003</v>
      </c>
      <c r="M138" s="185"/>
      <c r="N138" s="177"/>
      <c r="P138" s="150" t="s">
        <v>196</v>
      </c>
    </row>
    <row r="139" spans="1:16" ht="12">
      <c r="A139" s="190" t="s">
        <v>134</v>
      </c>
      <c r="B139" s="190">
        <v>50</v>
      </c>
      <c r="C139" s="185">
        <v>30</v>
      </c>
      <c r="D139" s="185">
        <v>13</v>
      </c>
      <c r="E139" s="222"/>
      <c r="F139" s="222"/>
      <c r="G139" s="185">
        <f>B139+C139+D139+E139</f>
        <v>93</v>
      </c>
      <c r="H139" s="223">
        <f>G138/G139</f>
        <v>1.064516129032258</v>
      </c>
      <c r="I139" s="186"/>
      <c r="J139" s="185"/>
      <c r="K139" s="185"/>
      <c r="L139" s="225"/>
      <c r="M139" s="185"/>
      <c r="N139" s="177"/>
      <c r="P139" s="150" t="s">
        <v>193</v>
      </c>
    </row>
    <row r="140" spans="1:14" ht="12">
      <c r="A140" s="49" t="s">
        <v>68</v>
      </c>
      <c r="B140" s="36">
        <f>B139*H139</f>
        <v>53.2258064516129</v>
      </c>
      <c r="C140" s="37">
        <f>C139*H139</f>
        <v>31.93548387096774</v>
      </c>
      <c r="D140" s="37">
        <f>D139*H139</f>
        <v>13.838709677419354</v>
      </c>
      <c r="E140" s="37"/>
      <c r="F140" s="37"/>
      <c r="G140" s="35"/>
      <c r="H140" s="40"/>
      <c r="I140" s="37">
        <f>ABS(B138-B140)+ABS(C138-C140)+ABS(D138-D140)</f>
        <v>13.277419354838713</v>
      </c>
      <c r="J140" s="37">
        <f>ABS((B138-B140)+(C140-C138)+(D138-D140))</f>
        <v>12.729032258064507</v>
      </c>
      <c r="K140" s="48" t="s">
        <v>51</v>
      </c>
      <c r="L140" s="36">
        <f>B140-C140</f>
        <v>21.290322580645157</v>
      </c>
      <c r="M140" s="37">
        <f>ABS(L140-L138)</f>
        <v>6.090322580645154</v>
      </c>
      <c r="N140" s="40" t="s">
        <v>51</v>
      </c>
    </row>
    <row r="141" spans="1:16" ht="14.25" customHeight="1">
      <c r="A141" s="39" t="s">
        <v>143</v>
      </c>
      <c r="B141" s="39">
        <v>43</v>
      </c>
      <c r="C141" s="35">
        <v>26</v>
      </c>
      <c r="D141" s="35">
        <v>10</v>
      </c>
      <c r="E141" s="35"/>
      <c r="F141" s="35"/>
      <c r="G141" s="35">
        <f>B141+C141+D141+E141</f>
        <v>79</v>
      </c>
      <c r="H141" s="207">
        <f>G138/G141</f>
        <v>1.2531645569620253</v>
      </c>
      <c r="I141" s="35"/>
      <c r="J141" s="35"/>
      <c r="K141" s="35"/>
      <c r="L141" s="39"/>
      <c r="M141" s="35"/>
      <c r="N141" s="40"/>
      <c r="P141" s="150" t="s">
        <v>192</v>
      </c>
    </row>
    <row r="142" spans="1:14" ht="12">
      <c r="A142" s="49" t="s">
        <v>68</v>
      </c>
      <c r="B142" s="36">
        <f>B141*H141</f>
        <v>53.88607594936709</v>
      </c>
      <c r="C142" s="37">
        <f>C141*H141</f>
        <v>32.58227848101266</v>
      </c>
      <c r="D142" s="37">
        <f>D141*H141</f>
        <v>12.531645569620252</v>
      </c>
      <c r="E142" s="37"/>
      <c r="F142" s="37"/>
      <c r="G142" s="35"/>
      <c r="H142" s="40"/>
      <c r="I142" s="37">
        <f>ABS(B138-B142)+ABS(C138-C142)+ABS(D138-D142)</f>
        <v>11.435443037974682</v>
      </c>
      <c r="J142" s="37">
        <f>ABS((B138-B142)+(C142-C138)+(D138-D142))</f>
        <v>11.435443037974682</v>
      </c>
      <c r="K142" s="48" t="s">
        <v>51</v>
      </c>
      <c r="L142" s="36">
        <f>B142-C142</f>
        <v>21.303797468354432</v>
      </c>
      <c r="M142" s="37">
        <f>ABS(L142-L138)</f>
        <v>6.103797468354429</v>
      </c>
      <c r="N142" s="40" t="s">
        <v>51</v>
      </c>
    </row>
    <row r="143" spans="1:16" ht="14.25" customHeight="1">
      <c r="A143" s="39" t="s">
        <v>360</v>
      </c>
      <c r="B143" s="39">
        <v>53</v>
      </c>
      <c r="C143" s="35">
        <v>25</v>
      </c>
      <c r="D143" s="35">
        <v>9</v>
      </c>
      <c r="E143" s="35"/>
      <c r="F143" s="35"/>
      <c r="G143" s="35">
        <f>B143+C143+D143+E143</f>
        <v>87</v>
      </c>
      <c r="H143" s="207">
        <f>G138/G143</f>
        <v>1.1379310344827587</v>
      </c>
      <c r="I143" s="35"/>
      <c r="J143" s="35"/>
      <c r="K143" s="35"/>
      <c r="L143" s="39"/>
      <c r="M143" s="35"/>
      <c r="N143" s="40"/>
      <c r="P143" s="150" t="s">
        <v>191</v>
      </c>
    </row>
    <row r="144" spans="1:14" ht="12">
      <c r="A144" s="49" t="s">
        <v>68</v>
      </c>
      <c r="B144" s="36">
        <f>B143*H143</f>
        <v>60.310344827586206</v>
      </c>
      <c r="C144" s="37">
        <f>C143*H143</f>
        <v>28.448275862068968</v>
      </c>
      <c r="D144" s="37">
        <f>D143*H143</f>
        <v>10.241379310344827</v>
      </c>
      <c r="E144" s="37"/>
      <c r="F144" s="37"/>
      <c r="G144" s="35"/>
      <c r="H144" s="40"/>
      <c r="I144" s="38">
        <f>ABS(B138-B144)+ABS(C138-C144)+ABS(D138-D144)</f>
        <v>19.703448275862062</v>
      </c>
      <c r="J144" s="38">
        <f>ABS((B138-B144)+(C144-C138)+(D138-D144))</f>
        <v>19.703448275862062</v>
      </c>
      <c r="K144" s="238" t="s">
        <v>51</v>
      </c>
      <c r="L144" s="231">
        <f>B144-C144</f>
        <v>31.86206896551724</v>
      </c>
      <c r="M144" s="38">
        <f>ABS(L144-L138)</f>
        <v>16.662068965517236</v>
      </c>
      <c r="N144" s="228" t="s">
        <v>51</v>
      </c>
    </row>
    <row r="145" spans="1:14" ht="14.25" customHeight="1">
      <c r="A145" s="39" t="s">
        <v>130</v>
      </c>
      <c r="B145" s="39">
        <v>56</v>
      </c>
      <c r="C145" s="35">
        <v>25</v>
      </c>
      <c r="D145" s="35">
        <v>6</v>
      </c>
      <c r="E145" s="35"/>
      <c r="F145" s="35"/>
      <c r="G145" s="35">
        <f>B145+C145+D145+E145</f>
        <v>87</v>
      </c>
      <c r="H145" s="207">
        <f>G138/G145</f>
        <v>1.1379310344827587</v>
      </c>
      <c r="I145" s="35"/>
      <c r="J145" s="35"/>
      <c r="K145" s="35"/>
      <c r="L145" s="39"/>
      <c r="M145" s="35"/>
      <c r="N145" s="40"/>
    </row>
    <row r="146" spans="1:14" ht="12">
      <c r="A146" s="213" t="s">
        <v>68</v>
      </c>
      <c r="B146" s="41">
        <f>B145*H145</f>
        <v>63.724137931034484</v>
      </c>
      <c r="C146" s="42">
        <f>C145*H145</f>
        <v>28.448275862068968</v>
      </c>
      <c r="D146" s="42">
        <f>D145*H145</f>
        <v>6.827586206896552</v>
      </c>
      <c r="E146" s="42"/>
      <c r="F146" s="42"/>
      <c r="G146" s="157"/>
      <c r="H146" s="193"/>
      <c r="I146" s="42">
        <f>ABS(B138-B146)+ABS(C138-C146)+ABS(D138-D146)</f>
        <v>20.44827586206896</v>
      </c>
      <c r="J146" s="42">
        <f>ABS((B138-B146)+(C146-C138)+(D138-D146))</f>
        <v>19.703448275862065</v>
      </c>
      <c r="K146" s="168" t="s">
        <v>51</v>
      </c>
      <c r="L146" s="41">
        <f>B146-C146</f>
        <v>35.275862068965516</v>
      </c>
      <c r="M146" s="42">
        <f>ABS(L146-L138)</f>
        <v>20.075862068965513</v>
      </c>
      <c r="N146" s="193" t="s">
        <v>51</v>
      </c>
    </row>
    <row r="147" spans="1:14" ht="12">
      <c r="A147" s="191" t="s">
        <v>46</v>
      </c>
      <c r="B147" s="195">
        <f>AVERAGE(B140,B142,B144)</f>
        <v>55.80740907618874</v>
      </c>
      <c r="C147" s="158">
        <f>AVERAGE(C140,C142,C144)</f>
        <v>30.988679404683122</v>
      </c>
      <c r="D147" s="158">
        <f>AVERAGE(D140,D142,D144)</f>
        <v>12.203911519128143</v>
      </c>
      <c r="E147" s="158"/>
      <c r="F147" s="158"/>
      <c r="G147" s="157"/>
      <c r="H147" s="193"/>
      <c r="I147" s="158">
        <f>AVERAGE(I140,I142,I144)</f>
        <v>14.805436889558486</v>
      </c>
      <c r="J147" s="158">
        <f>AVERAGE(J140,J142,J144)</f>
        <v>14.62264119063375</v>
      </c>
      <c r="K147" s="168" t="s">
        <v>51</v>
      </c>
      <c r="L147" s="195">
        <f>AVERAGE(L140,L142,L144)</f>
        <v>24.818729671505608</v>
      </c>
      <c r="M147" s="158">
        <f>AVERAGE(M140,M142,M144)</f>
        <v>9.618729671505607</v>
      </c>
      <c r="N147" s="193" t="s">
        <v>51</v>
      </c>
    </row>
    <row r="148" spans="1:14" ht="12">
      <c r="A148" s="194" t="s">
        <v>88</v>
      </c>
      <c r="B148" s="195"/>
      <c r="C148" s="158"/>
      <c r="D148" s="158"/>
      <c r="E148" s="158"/>
      <c r="F148" s="158"/>
      <c r="G148" s="157"/>
      <c r="H148" s="193">
        <v>3</v>
      </c>
      <c r="I148" s="158">
        <f>H148*I147</f>
        <v>44.41631066867546</v>
      </c>
      <c r="J148" s="158">
        <f>H148*J147</f>
        <v>43.86792357190125</v>
      </c>
      <c r="K148" s="168" t="s">
        <v>51</v>
      </c>
      <c r="L148" s="195"/>
      <c r="M148" s="157"/>
      <c r="N148" s="193"/>
    </row>
    <row r="152" spans="1:14" ht="12">
      <c r="A152" s="267" t="s">
        <v>234</v>
      </c>
      <c r="B152" s="275" t="s">
        <v>366</v>
      </c>
      <c r="C152" s="276"/>
      <c r="D152" s="276"/>
      <c r="E152" s="276"/>
      <c r="F152" s="276"/>
      <c r="G152" s="276"/>
      <c r="H152" s="276"/>
      <c r="I152" s="276"/>
      <c r="J152" s="276"/>
      <c r="K152" s="276"/>
      <c r="L152" s="277"/>
      <c r="M152" s="146"/>
      <c r="N152" s="146"/>
    </row>
    <row r="153" spans="1:14" ht="12">
      <c r="A153" s="268"/>
      <c r="B153" s="171" t="s">
        <v>132</v>
      </c>
      <c r="C153" s="176" t="s">
        <v>116</v>
      </c>
      <c r="D153" s="176"/>
      <c r="E153" s="176"/>
      <c r="F153" s="176"/>
      <c r="G153" s="176" t="s">
        <v>66</v>
      </c>
      <c r="H153" s="187" t="s">
        <v>67</v>
      </c>
      <c r="I153" s="48" t="s">
        <v>26</v>
      </c>
      <c r="J153" s="314" t="s">
        <v>49</v>
      </c>
      <c r="K153" s="314"/>
      <c r="L153" s="151" t="s">
        <v>104</v>
      </c>
      <c r="M153" s="206"/>
      <c r="N153" s="206"/>
    </row>
    <row r="154" spans="1:16" ht="12">
      <c r="A154" s="190" t="s">
        <v>365</v>
      </c>
      <c r="B154" s="190">
        <v>50.7</v>
      </c>
      <c r="C154" s="185">
        <v>48</v>
      </c>
      <c r="D154" s="185"/>
      <c r="E154" s="222"/>
      <c r="F154" s="222"/>
      <c r="G154" s="185">
        <f>B154+C154</f>
        <v>98.7</v>
      </c>
      <c r="H154" s="177"/>
      <c r="I154" s="185"/>
      <c r="J154" s="185"/>
      <c r="K154" s="185"/>
      <c r="L154" s="226">
        <f>B154-C154</f>
        <v>2.700000000000003</v>
      </c>
      <c r="P154" s="150" t="s">
        <v>195</v>
      </c>
    </row>
    <row r="155" spans="1:16" ht="12">
      <c r="A155" s="190" t="s">
        <v>364</v>
      </c>
      <c r="B155" s="190">
        <v>47.3</v>
      </c>
      <c r="C155" s="185">
        <v>51.2</v>
      </c>
      <c r="D155" s="185"/>
      <c r="E155" s="222"/>
      <c r="F155" s="222"/>
      <c r="G155" s="185">
        <f>B155+C155</f>
        <v>98.5</v>
      </c>
      <c r="H155" s="177"/>
      <c r="I155" s="185"/>
      <c r="J155" s="185"/>
      <c r="K155" s="185"/>
      <c r="L155" s="226">
        <f>B155-C155</f>
        <v>-3.9000000000000057</v>
      </c>
      <c r="P155" s="150" t="s">
        <v>294</v>
      </c>
    </row>
    <row r="156" spans="1:16" ht="12">
      <c r="A156" s="190" t="s">
        <v>216</v>
      </c>
      <c r="B156" s="190">
        <v>44</v>
      </c>
      <c r="C156" s="185">
        <v>41</v>
      </c>
      <c r="D156" s="185"/>
      <c r="E156" s="222"/>
      <c r="F156" s="222"/>
      <c r="G156" s="185">
        <f>B156+C156</f>
        <v>85</v>
      </c>
      <c r="H156" s="223">
        <f>G154/G156</f>
        <v>1.1611764705882353</v>
      </c>
      <c r="I156" s="186"/>
      <c r="J156" s="185"/>
      <c r="K156" s="185"/>
      <c r="L156" s="226"/>
      <c r="P156" s="150" t="s">
        <v>194</v>
      </c>
    </row>
    <row r="157" spans="1:16" ht="12">
      <c r="A157" s="49" t="s">
        <v>68</v>
      </c>
      <c r="B157" s="36">
        <f>B156*H156</f>
        <v>51.091764705882355</v>
      </c>
      <c r="C157" s="37">
        <f>C156*H156</f>
        <v>47.60823529411765</v>
      </c>
      <c r="D157" s="37"/>
      <c r="E157" s="37"/>
      <c r="F157" s="37"/>
      <c r="G157" s="35"/>
      <c r="H157" s="40"/>
      <c r="I157" s="37">
        <f>ABS(B154-B157)+ABS(C154-C157)</f>
        <v>0.7835294117647038</v>
      </c>
      <c r="J157" s="37">
        <f>ABS((B154-B157)+(C157-C154))</f>
        <v>0.7835294117647038</v>
      </c>
      <c r="K157" s="48" t="s">
        <v>51</v>
      </c>
      <c r="L157" s="217">
        <f>B157-C157</f>
        <v>3.4835294117647067</v>
      </c>
      <c r="M157" s="148"/>
      <c r="P157" s="150" t="s">
        <v>217</v>
      </c>
    </row>
    <row r="158" spans="1:16" ht="12">
      <c r="A158" s="39" t="s">
        <v>218</v>
      </c>
      <c r="B158" s="39">
        <v>47</v>
      </c>
      <c r="C158" s="35">
        <v>50</v>
      </c>
      <c r="D158" s="35"/>
      <c r="E158" s="50"/>
      <c r="F158" s="50"/>
      <c r="G158" s="35">
        <f>B158+C158</f>
        <v>97</v>
      </c>
      <c r="H158" s="207">
        <f>G155/G158</f>
        <v>1.0154639175257731</v>
      </c>
      <c r="I158" s="37"/>
      <c r="J158" s="35"/>
      <c r="K158" s="35"/>
      <c r="L158" s="217"/>
      <c r="P158" s="150" t="s">
        <v>219</v>
      </c>
    </row>
    <row r="159" spans="1:16" ht="12">
      <c r="A159" s="213" t="s">
        <v>68</v>
      </c>
      <c r="B159" s="41">
        <f>B158*H158</f>
        <v>47.72680412371134</v>
      </c>
      <c r="C159" s="42">
        <f>C158*H158</f>
        <v>50.77319587628865</v>
      </c>
      <c r="D159" s="42"/>
      <c r="E159" s="42"/>
      <c r="F159" s="42"/>
      <c r="G159" s="157"/>
      <c r="H159" s="193"/>
      <c r="I159" s="42">
        <f>ABS(B159-B155)+ABS(C159-C155)</f>
        <v>0.8536082474226916</v>
      </c>
      <c r="J159" s="42">
        <f>ABS((B155-B159)+(C159-C155))</f>
        <v>0.8536082474226916</v>
      </c>
      <c r="K159" s="168" t="s">
        <v>51</v>
      </c>
      <c r="L159" s="227">
        <f>B159-C159</f>
        <v>-3.046391752577314</v>
      </c>
      <c r="P159" s="150"/>
    </row>
    <row r="160" spans="1:12" ht="12">
      <c r="A160" s="191" t="s">
        <v>46</v>
      </c>
      <c r="B160" s="195">
        <f>AVERAGE(B152,B154,B157)</f>
        <v>50.89588235294118</v>
      </c>
      <c r="C160" s="158">
        <f>AVERAGE(C152,C154,C157)</f>
        <v>47.804117647058824</v>
      </c>
      <c r="D160" s="158"/>
      <c r="E160" s="158"/>
      <c r="F160" s="158"/>
      <c r="G160" s="157"/>
      <c r="H160" s="193"/>
      <c r="I160" s="158">
        <f>AVERAGE(I157,I159)</f>
        <v>0.8185688295936977</v>
      </c>
      <c r="J160" s="158">
        <f>AVERAGE(J157,J159)</f>
        <v>0.8185688295936977</v>
      </c>
      <c r="K160" s="168" t="s">
        <v>51</v>
      </c>
      <c r="L160" s="219">
        <f>AVERAGE(L157,L159)</f>
        <v>0.21856882959369628</v>
      </c>
    </row>
    <row r="161" spans="1:12" ht="12">
      <c r="A161" s="194" t="s">
        <v>88</v>
      </c>
      <c r="B161" s="195"/>
      <c r="C161" s="158"/>
      <c r="D161" s="158"/>
      <c r="E161" s="158"/>
      <c r="F161" s="158"/>
      <c r="G161" s="157"/>
      <c r="H161" s="193">
        <v>2</v>
      </c>
      <c r="I161" s="158">
        <f>H161*I160</f>
        <v>1.6371376591873954</v>
      </c>
      <c r="J161" s="158">
        <f>H161*J160</f>
        <v>1.6371376591873954</v>
      </c>
      <c r="K161" s="168" t="s">
        <v>51</v>
      </c>
      <c r="L161" s="219"/>
    </row>
    <row r="167" spans="1:7" ht="12">
      <c r="A167" s="239" t="s">
        <v>367</v>
      </c>
      <c r="B167" s="199" t="s">
        <v>92</v>
      </c>
      <c r="C167" s="199" t="s">
        <v>99</v>
      </c>
      <c r="D167" s="200" t="s">
        <v>89</v>
      </c>
      <c r="E167" s="199" t="s">
        <v>99</v>
      </c>
      <c r="F167" s="199" t="s">
        <v>46</v>
      </c>
      <c r="G167" s="201" t="s">
        <v>93</v>
      </c>
    </row>
    <row r="168" spans="1:7" ht="12">
      <c r="A168" s="198" t="s">
        <v>94</v>
      </c>
      <c r="B168" s="185">
        <f>H$13+H$24+H$42+H$56+H$82+H$94+H$112+H$132+H$148+H$161</f>
        <v>35</v>
      </c>
      <c r="C168" s="202">
        <v>1</v>
      </c>
      <c r="D168" s="189">
        <f>I$13+I$24+I$42+I$56+I$82+I$94+I$112+I$132+I$148+I$161</f>
        <v>423.13005423660024</v>
      </c>
      <c r="E168" s="202">
        <v>1</v>
      </c>
      <c r="F168" s="189">
        <f>D168/B168</f>
        <v>12.089430121045721</v>
      </c>
      <c r="G168" s="187"/>
    </row>
    <row r="169" spans="1:7" ht="12">
      <c r="A169" s="152" t="s">
        <v>90</v>
      </c>
      <c r="B169" s="35">
        <v>20</v>
      </c>
      <c r="C169" s="43">
        <f>B169/B168</f>
        <v>0.5714285714285714</v>
      </c>
      <c r="D169" s="144">
        <f>J$13+(J$66+J$80)+J$112+(J$120+J$122+J$124+J$128+J$130)+J$148+(J$161)</f>
        <v>219.52381343122272</v>
      </c>
      <c r="E169" s="43">
        <f>D169/D168</f>
        <v>0.5188093146143486</v>
      </c>
      <c r="F169" s="144">
        <f>D169/B169</f>
        <v>10.976190671561136</v>
      </c>
      <c r="G169" s="153" t="s">
        <v>51</v>
      </c>
    </row>
    <row r="170" spans="1:7" ht="12">
      <c r="A170" s="208" t="s">
        <v>91</v>
      </c>
      <c r="B170" s="157">
        <v>4</v>
      </c>
      <c r="C170" s="203">
        <f>B170/B168</f>
        <v>0.11428571428571428</v>
      </c>
      <c r="D170" s="169">
        <f>(J$68+J$72+J$76)+J$126</f>
        <v>23.483305215993518</v>
      </c>
      <c r="E170" s="203">
        <f>D170/D168</f>
        <v>0.05549902442728031</v>
      </c>
      <c r="F170" s="169">
        <f>D170/B170</f>
        <v>5.8708263039983795</v>
      </c>
      <c r="G170" s="170" t="s">
        <v>50</v>
      </c>
    </row>
    <row r="171" spans="1:7" ht="12">
      <c r="A171" s="155" t="s">
        <v>208</v>
      </c>
      <c r="B171" s="157"/>
      <c r="C171" s="157"/>
      <c r="D171" s="169">
        <f>D169-D170</f>
        <v>196.0405082152292</v>
      </c>
      <c r="E171" s="157"/>
      <c r="F171" s="169">
        <f>D171/B168</f>
        <v>5.6011573775779775</v>
      </c>
      <c r="G171" s="159" t="s">
        <v>51</v>
      </c>
    </row>
    <row r="175" spans="1:7" ht="12">
      <c r="A175" s="239" t="s">
        <v>236</v>
      </c>
      <c r="B175" s="199" t="s">
        <v>92</v>
      </c>
      <c r="C175" s="199" t="s">
        <v>99</v>
      </c>
      <c r="D175" s="200" t="s">
        <v>89</v>
      </c>
      <c r="E175" s="199" t="s">
        <v>99</v>
      </c>
      <c r="F175" s="199" t="s">
        <v>46</v>
      </c>
      <c r="G175" s="201" t="s">
        <v>93</v>
      </c>
    </row>
    <row r="176" spans="1:7" ht="12">
      <c r="A176" s="198" t="s">
        <v>94</v>
      </c>
      <c r="B176" s="240">
        <f>B168+'PM+BLOCKS'!B114</f>
        <v>66</v>
      </c>
      <c r="C176" s="202">
        <v>1</v>
      </c>
      <c r="D176" s="189">
        <f>D168+'PM+BLOCKS'!D114</f>
        <v>565.798448575521</v>
      </c>
      <c r="E176" s="202">
        <v>1</v>
      </c>
      <c r="F176" s="189">
        <f>D176/B176</f>
        <v>8.572703766295772</v>
      </c>
      <c r="G176" s="187"/>
    </row>
    <row r="177" spans="1:7" ht="12">
      <c r="A177" s="152" t="s">
        <v>90</v>
      </c>
      <c r="B177" s="210">
        <f>B169+'PM+BLOCKS'!B115</f>
        <v>37</v>
      </c>
      <c r="C177" s="43">
        <f>B177/B176</f>
        <v>0.5606060606060606</v>
      </c>
      <c r="D177" s="144">
        <f>D169+'PM+BLOCKS'!D115</f>
        <v>327.0939568955808</v>
      </c>
      <c r="E177" s="43">
        <f>D177/D176</f>
        <v>0.5781103813894981</v>
      </c>
      <c r="F177" s="144">
        <f>D177/B177</f>
        <v>8.840377213394076</v>
      </c>
      <c r="G177" s="153" t="s">
        <v>51</v>
      </c>
    </row>
    <row r="178" spans="1:7" ht="12">
      <c r="A178" s="208" t="s">
        <v>91</v>
      </c>
      <c r="B178" s="241">
        <f>B170+'PM+BLOCKS'!B116</f>
        <v>14</v>
      </c>
      <c r="C178" s="203">
        <f>B178/B176</f>
        <v>0.21212121212121213</v>
      </c>
      <c r="D178" s="169">
        <f>D170+'PM+BLOCKS'!D116</f>
        <v>58.58155609055621</v>
      </c>
      <c r="E178" s="203">
        <f>D178/D176</f>
        <v>0.10353785210624686</v>
      </c>
      <c r="F178" s="169">
        <f>D178/B178</f>
        <v>4.184396863611158</v>
      </c>
      <c r="G178" s="170" t="s">
        <v>50</v>
      </c>
    </row>
    <row r="179" spans="1:7" ht="12">
      <c r="A179" s="155" t="s">
        <v>208</v>
      </c>
      <c r="B179" s="157"/>
      <c r="C179" s="157"/>
      <c r="D179" s="169">
        <f>D177-D178</f>
        <v>268.5124008050246</v>
      </c>
      <c r="E179" s="157"/>
      <c r="F179" s="169">
        <f>D179/B176</f>
        <v>4.068369709167039</v>
      </c>
      <c r="G179" s="159" t="s">
        <v>51</v>
      </c>
    </row>
  </sheetData>
  <sheetProtection/>
  <mergeCells count="33">
    <mergeCell ref="A136:A137"/>
    <mergeCell ref="A152:A153"/>
    <mergeCell ref="A60:A61"/>
    <mergeCell ref="A86:A87"/>
    <mergeCell ref="A100:A101"/>
    <mergeCell ref="A116:A117"/>
    <mergeCell ref="B152:L152"/>
    <mergeCell ref="J153:K153"/>
    <mergeCell ref="J117:K117"/>
    <mergeCell ref="J101:K101"/>
    <mergeCell ref="J137:K137"/>
    <mergeCell ref="M61:N61"/>
    <mergeCell ref="M87:N87"/>
    <mergeCell ref="J2:K2"/>
    <mergeCell ref="J61:K61"/>
    <mergeCell ref="B28:J28"/>
    <mergeCell ref="B60:N60"/>
    <mergeCell ref="B1:N1"/>
    <mergeCell ref="A28:A29"/>
    <mergeCell ref="A46:A47"/>
    <mergeCell ref="A1:A2"/>
    <mergeCell ref="A17:A18"/>
    <mergeCell ref="M18:N18"/>
    <mergeCell ref="B17:N17"/>
    <mergeCell ref="M47:N47"/>
    <mergeCell ref="B46:N46"/>
    <mergeCell ref="M2:N2"/>
    <mergeCell ref="M117:N117"/>
    <mergeCell ref="M137:N137"/>
    <mergeCell ref="B86:N86"/>
    <mergeCell ref="B136:N136"/>
    <mergeCell ref="B116:N116"/>
    <mergeCell ref="B100:L100"/>
  </mergeCells>
  <hyperlinks>
    <hyperlink ref="P4" r:id="rId1" display="http://www.imra.org.il/story.php3?id=40720"/>
    <hyperlink ref="P6" r:id="rId2" display="http://www.imra.org.il/story.php3?id=40683"/>
    <hyperlink ref="P10" r:id="rId3" display="http://newsru.co.il/arch/israel/12sep2008/livni913.html"/>
    <hyperlink ref="P8" r:id="rId4" display="http://www.imra.org.il/story.php3?id=40673"/>
    <hyperlink ref="P3" r:id="rId5" display="http://newsru.co.il/arch/israel/18sep2008/golos_101.html"/>
    <hyperlink ref="P20" r:id="rId6" display="http://www.imra.org.il/story.php3?id=35514"/>
    <hyperlink ref="P19" r:id="rId7" display="http://www.imra.org.il/story.php3?id=35663"/>
    <hyperlink ref="P35" r:id="rId8" display="http://news.walla.co.il/?w=//1120922"/>
    <hyperlink ref="P31" r:id="rId9" display="http://www.imra.org.il/story.php3?id=34688"/>
    <hyperlink ref="P33" r:id="rId10" display="http://www.imra.org.il/story.php3?id=34682"/>
    <hyperlink ref="P37" r:id="rId11" display="http://cursorinfo.co.il/news/novosti/2007/06/07/avoda/"/>
    <hyperlink ref="P30" r:id="rId12" display="http://www.nfc.co.il/Archive/001-D-133371-00.html?tag=16-17-16"/>
    <hyperlink ref="P39" r:id="rId13" display="http://www.7kanal.com/news.php3?id=228827"/>
    <hyperlink ref="P48" r:id="rId14" display="http://www.imra.org.il/story.php3?id=34528"/>
    <hyperlink ref="P51" r:id="rId15" display="http://med.walla.co.il/?w=//1111419"/>
    <hyperlink ref="P53" r:id="rId16" display="http://cursorinfo.co.il/news/novosti/2007/05/26/avoda/"/>
    <hyperlink ref="P49" r:id="rId17" display="http://news.msn.co.il/news/StatePoliticalMilitary/Political/200705/2007052508706.htm"/>
    <hyperlink ref="P62" r:id="rId18" display="http://hpnet.ios.st/Front/Newsnet/reports.asp?reportId=122822"/>
    <hyperlink ref="P71" r:id="rId19" display="http://hpnet.ios.st/Front/Newsnet/reports.asp?reportId=119080"/>
    <hyperlink ref="P63" r:id="rId20" display="http://www.imra.org.il/story.php3?id=27823"/>
    <hyperlink ref="P67" r:id="rId21" display="http://newsru.co.il/israel/14dec2005/bnetan.html"/>
    <hyperlink ref="P91" r:id="rId22" display="http://www.nrg.co.il/online/1/ART1/004/768.html"/>
    <hyperlink ref="P89" r:id="rId23" display="http://www.imra.org.il/story.php3?id=27422"/>
    <hyperlink ref="P95" r:id="rId24" display="http://www.nrg.co.il/online/1/ART1/005/627.html"/>
    <hyperlink ref="P88" r:id="rId25" display="http://www.ynet.co.il/articles/0,7340,L-3166959,00.html"/>
    <hyperlink ref="P103" r:id="rId26" display="http://www.imra.org.il/story.php3?id=20640"/>
    <hyperlink ref="P105" r:id="rId27" display="http://www.imra.org.il/story.php3?id=20640"/>
    <hyperlink ref="P109" r:id="rId28" display="http://www.imra.org.il/story.php3?id=20604"/>
    <hyperlink ref="P107" r:id="rId29" display="http://www.imra.org.il/story.php3?id=20600"/>
    <hyperlink ref="P102" r:id="rId30" display="http://www.ynet.co.il/articles/0,7340,L-2910838,00.html"/>
    <hyperlink ref="P123" r:id="rId31" display="http://www.imra.org.il/story.php3?id=14613"/>
    <hyperlink ref="P125" r:id="rId32" display="http://www.imra.org.il/story.php3?id=14613"/>
    <hyperlink ref="P129" r:id="rId33" display="http://www.imra.org.il/story.php3?id=14678"/>
    <hyperlink ref="P127" r:id="rId34" display="http://www.imra.org.il/story.php3?id=14694"/>
    <hyperlink ref="P119" r:id="rId35" display="http://www.ynet.co.il/articles/0,7340,L-2278136,00.html"/>
    <hyperlink ref="P118" r:id="rId36" display="http://www.languages-study.com/column/column2.12.02.html"/>
    <hyperlink ref="P121" r:id="rId37" display="http://www.imra.org.il/story.php3?id=14613"/>
    <hyperlink ref="P143" r:id="rId38" display="http://www.fresh.co.il/dcforum/Scoops/37946.html"/>
    <hyperlink ref="P141" r:id="rId39" display="http://www.imra.org.il/story.php3?id=14501"/>
    <hyperlink ref="P139" r:id="rId40" display="http://www.imra.org.il/story.php3?id=14505"/>
    <hyperlink ref="P138" r:id="rId41" display="http://www.idi.org.il/breakingnews/pages/breaking_the_news_10.aspx"/>
    <hyperlink ref="P156" r:id="rId42" display="http://www.ynet.co.il/articles/0,7340,L-1064348,00.html"/>
    <hyperlink ref="P154" r:id="rId43" display="http://www.inn.co.il/News/Flash.aspx/9995"/>
    <hyperlink ref="P157" r:id="rId44" display="http://gamla.org.il/english/article/2001/sept/poll1.htm"/>
    <hyperlink ref="P75" r:id="rId45" display="http://www.jpost.com/servlet/Satellite?cid=1134309574942&amp;pagename=JPArticle%2FShowFull"/>
    <hyperlink ref="P79" r:id="rId46" display="http://www.jpost.com/servlet/Satellite?cid=1134309574942&amp;pagename=JPArticle%2FShowFull"/>
    <hyperlink ref="P73" r:id="rId47" display="http://www.jpost.com/servlet/Satellite?cid=1134309574942&amp;pagename=JPArticle%2FShowFull"/>
    <hyperlink ref="P155" r:id="rId48" display="http://www.idi.org.il/BreakingNews/Pages/Breaking_the_News_10.aspx"/>
  </hyperlinks>
  <printOptions/>
  <pageMargins left="0.75" right="0.75" top="1" bottom="1" header="0.5" footer="0.5"/>
  <pageSetup horizontalDpi="600" verticalDpi="600" orientation="portrait" paperSize="9" r:id="rId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pane xSplit="2" ySplit="2" topLeftCell="O2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6" sqref="B46"/>
    </sheetView>
  </sheetViews>
  <sheetFormatPr defaultColWidth="9.140625" defaultRowHeight="12.75"/>
  <cols>
    <col min="1" max="1" width="12.421875" style="47" customWidth="1"/>
    <col min="2" max="2" width="10.140625" style="47" customWidth="1"/>
    <col min="3" max="4" width="4.28125" style="34" customWidth="1"/>
    <col min="5" max="6" width="4.00390625" style="34" customWidth="1"/>
    <col min="7" max="7" width="3.7109375" style="34" customWidth="1"/>
    <col min="8" max="10" width="4.7109375" style="34" customWidth="1"/>
    <col min="11" max="11" width="5.7109375" style="34" customWidth="1"/>
    <col min="12" max="12" width="4.7109375" style="34" customWidth="1"/>
    <col min="13" max="13" width="4.8515625" style="34" customWidth="1"/>
    <col min="14" max="14" width="5.28125" style="34" customWidth="1"/>
    <col min="15" max="17" width="5.7109375" style="34" customWidth="1"/>
    <col min="18" max="18" width="4.8515625" style="34" customWidth="1"/>
    <col min="19" max="19" width="5.8515625" style="34" customWidth="1"/>
    <col min="20" max="20" width="4.7109375" style="34" customWidth="1"/>
    <col min="21" max="21" width="1.1484375" style="34" customWidth="1"/>
    <col min="22" max="22" width="7.57421875" style="34" customWidth="1"/>
    <col min="23" max="23" width="8.28125" style="34" customWidth="1"/>
    <col min="24" max="24" width="5.7109375" style="34" customWidth="1"/>
    <col min="25" max="25" width="6.140625" style="34" customWidth="1"/>
    <col min="26" max="26" width="6.421875" style="34" customWidth="1"/>
    <col min="27" max="27" width="12.28125" style="34" bestFit="1" customWidth="1"/>
    <col min="28" max="16384" width="9.140625" style="34" customWidth="1"/>
  </cols>
  <sheetData>
    <row r="1" spans="1:33" ht="12">
      <c r="A1" s="204"/>
      <c r="B1" s="239"/>
      <c r="C1" s="280" t="s">
        <v>279</v>
      </c>
      <c r="D1" s="278"/>
      <c r="E1" s="278"/>
      <c r="F1" s="278"/>
      <c r="G1" s="278"/>
      <c r="H1" s="278"/>
      <c r="I1" s="278"/>
      <c r="J1" s="279"/>
      <c r="K1" s="280" t="s">
        <v>375</v>
      </c>
      <c r="L1" s="278"/>
      <c r="M1" s="278"/>
      <c r="N1" s="278"/>
      <c r="O1" s="278"/>
      <c r="P1" s="278"/>
      <c r="Q1" s="278"/>
      <c r="R1" s="278"/>
      <c r="S1" s="278"/>
      <c r="T1" s="279"/>
      <c r="U1" s="185"/>
      <c r="V1" s="315" t="s">
        <v>279</v>
      </c>
      <c r="W1" s="316"/>
      <c r="X1" s="316"/>
      <c r="Y1" s="316"/>
      <c r="Z1" s="315" t="s">
        <v>375</v>
      </c>
      <c r="AA1" s="316"/>
      <c r="AB1" s="316"/>
      <c r="AC1" s="317"/>
      <c r="AD1" s="315" t="s">
        <v>88</v>
      </c>
      <c r="AE1" s="316"/>
      <c r="AF1" s="316"/>
      <c r="AG1" s="317"/>
    </row>
    <row r="2" spans="1:33" ht="12">
      <c r="A2" s="160" t="s">
        <v>254</v>
      </c>
      <c r="B2" s="249"/>
      <c r="C2" s="250" t="s">
        <v>267</v>
      </c>
      <c r="D2" s="165" t="s">
        <v>266</v>
      </c>
      <c r="E2" s="165" t="s">
        <v>265</v>
      </c>
      <c r="F2" s="165" t="s">
        <v>264</v>
      </c>
      <c r="G2" s="165" t="s">
        <v>293</v>
      </c>
      <c r="H2" s="165" t="s">
        <v>263</v>
      </c>
      <c r="I2" s="165" t="s">
        <v>261</v>
      </c>
      <c r="J2" s="162" t="s">
        <v>262</v>
      </c>
      <c r="K2" s="182" t="s">
        <v>260</v>
      </c>
      <c r="L2" s="165" t="s">
        <v>259</v>
      </c>
      <c r="M2" s="165" t="s">
        <v>258</v>
      </c>
      <c r="N2" s="165" t="s">
        <v>257</v>
      </c>
      <c r="O2" s="165" t="s">
        <v>256</v>
      </c>
      <c r="P2" s="165" t="s">
        <v>268</v>
      </c>
      <c r="Q2" s="165" t="s">
        <v>269</v>
      </c>
      <c r="R2" s="165" t="s">
        <v>270</v>
      </c>
      <c r="S2" s="165" t="s">
        <v>271</v>
      </c>
      <c r="T2" s="162" t="s">
        <v>272</v>
      </c>
      <c r="U2" s="165" t="s">
        <v>44</v>
      </c>
      <c r="V2" s="251" t="s">
        <v>92</v>
      </c>
      <c r="W2" s="211" t="s">
        <v>46</v>
      </c>
      <c r="X2" s="165" t="s">
        <v>90</v>
      </c>
      <c r="Y2" s="165" t="s">
        <v>91</v>
      </c>
      <c r="Z2" s="251" t="s">
        <v>92</v>
      </c>
      <c r="AA2" s="211" t="s">
        <v>46</v>
      </c>
      <c r="AB2" s="165" t="s">
        <v>90</v>
      </c>
      <c r="AC2" s="162" t="s">
        <v>91</v>
      </c>
      <c r="AD2" s="251" t="s">
        <v>92</v>
      </c>
      <c r="AE2" s="211" t="s">
        <v>46</v>
      </c>
      <c r="AF2" s="165" t="s">
        <v>90</v>
      </c>
      <c r="AG2" s="162" t="s">
        <v>91</v>
      </c>
    </row>
    <row r="3" spans="1:33" s="44" customFormat="1" ht="12">
      <c r="A3" s="246" t="s">
        <v>301</v>
      </c>
      <c r="B3" s="229" t="s">
        <v>12</v>
      </c>
      <c r="C3" s="49">
        <v>0</v>
      </c>
      <c r="D3" s="48">
        <v>7.5</v>
      </c>
      <c r="E3" s="48"/>
      <c r="F3" s="48"/>
      <c r="G3" s="48"/>
      <c r="H3" s="48"/>
      <c r="I3" s="48"/>
      <c r="J3" s="153"/>
      <c r="K3" s="49"/>
      <c r="L3" s="48">
        <v>0.75</v>
      </c>
      <c r="M3" s="48"/>
      <c r="N3" s="48"/>
      <c r="O3" s="48"/>
      <c r="P3" s="48"/>
      <c r="Q3" s="48">
        <v>15.39</v>
      </c>
      <c r="R3" s="48"/>
      <c r="S3" s="48"/>
      <c r="T3" s="153"/>
      <c r="U3" s="48"/>
      <c r="V3" s="49">
        <v>2</v>
      </c>
      <c r="W3" s="243">
        <f>AVERAGE(C3,D3)</f>
        <v>3.75</v>
      </c>
      <c r="X3" s="242"/>
      <c r="Y3" s="48"/>
      <c r="Z3" s="49">
        <v>2</v>
      </c>
      <c r="AA3" s="242">
        <f>AVERAGE(L3,Q3)</f>
        <v>8.07</v>
      </c>
      <c r="AB3" s="242"/>
      <c r="AC3" s="153"/>
      <c r="AD3" s="49">
        <v>4</v>
      </c>
      <c r="AE3" s="243">
        <f>AVERAGE(C3,D3,L3,Q3)</f>
        <v>5.91</v>
      </c>
      <c r="AF3" s="242"/>
      <c r="AG3" s="153"/>
    </row>
    <row r="4" spans="1:33" s="44" customFormat="1" ht="12">
      <c r="A4" s="246" t="s">
        <v>302</v>
      </c>
      <c r="B4" s="229" t="s">
        <v>253</v>
      </c>
      <c r="C4" s="49">
        <v>0</v>
      </c>
      <c r="D4" s="48">
        <v>7.5</v>
      </c>
      <c r="E4" s="48"/>
      <c r="F4" s="48"/>
      <c r="G4" s="48"/>
      <c r="H4" s="48"/>
      <c r="I4" s="48"/>
      <c r="J4" s="153"/>
      <c r="K4" s="49"/>
      <c r="L4" s="48"/>
      <c r="M4" s="48"/>
      <c r="N4" s="48"/>
      <c r="O4" s="48"/>
      <c r="P4" s="48"/>
      <c r="Q4" s="48">
        <v>15.39</v>
      </c>
      <c r="R4" s="48"/>
      <c r="S4" s="48"/>
      <c r="T4" s="153"/>
      <c r="U4" s="48"/>
      <c r="V4" s="49" t="s">
        <v>281</v>
      </c>
      <c r="W4" s="242">
        <f>AVERAGE(C4,D4)</f>
        <v>3.75</v>
      </c>
      <c r="X4" s="242">
        <f>AVERAGE(D4)</f>
        <v>7.5</v>
      </c>
      <c r="Y4" s="48" t="s">
        <v>54</v>
      </c>
      <c r="Z4" s="49" t="s">
        <v>280</v>
      </c>
      <c r="AA4" s="242">
        <f>AVERAGE(Q4)</f>
        <v>15.39</v>
      </c>
      <c r="AB4" s="242">
        <f>AVERAGE(Q4)</f>
        <v>15.39</v>
      </c>
      <c r="AC4" s="153" t="s">
        <v>54</v>
      </c>
      <c r="AD4" s="49" t="s">
        <v>288</v>
      </c>
      <c r="AE4" s="242">
        <f>AVERAGE(C4,D4,Q4)</f>
        <v>7.63</v>
      </c>
      <c r="AF4" s="242">
        <f>AVERAGE(D4,Q4)</f>
        <v>11.445</v>
      </c>
      <c r="AG4" s="153" t="s">
        <v>54</v>
      </c>
    </row>
    <row r="5" spans="1:33" s="44" customFormat="1" ht="12">
      <c r="A5" s="246"/>
      <c r="B5" s="229" t="s">
        <v>93</v>
      </c>
      <c r="C5" s="49" t="s">
        <v>274</v>
      </c>
      <c r="D5" s="48" t="s">
        <v>51</v>
      </c>
      <c r="E5" s="48"/>
      <c r="F5" s="48"/>
      <c r="G5" s="48"/>
      <c r="H5" s="48"/>
      <c r="I5" s="48"/>
      <c r="J5" s="153"/>
      <c r="K5" s="49"/>
      <c r="L5" s="48"/>
      <c r="M5" s="48"/>
      <c r="N5" s="48"/>
      <c r="O5" s="48"/>
      <c r="P5" s="48"/>
      <c r="Q5" s="48" t="s">
        <v>51</v>
      </c>
      <c r="R5" s="48"/>
      <c r="S5" s="48"/>
      <c r="T5" s="153"/>
      <c r="U5" s="48"/>
      <c r="V5" s="49"/>
      <c r="W5" s="48" t="s">
        <v>51</v>
      </c>
      <c r="X5" s="48"/>
      <c r="Y5" s="48"/>
      <c r="Z5" s="49"/>
      <c r="AA5" s="48" t="s">
        <v>51</v>
      </c>
      <c r="AB5" s="48"/>
      <c r="AC5" s="153"/>
      <c r="AD5" s="49"/>
      <c r="AE5" s="48" t="s">
        <v>51</v>
      </c>
      <c r="AF5" s="48"/>
      <c r="AG5" s="153"/>
    </row>
    <row r="6" spans="1:33" s="44" customFormat="1" ht="12">
      <c r="A6" s="252" t="s">
        <v>297</v>
      </c>
      <c r="B6" s="239" t="s">
        <v>12</v>
      </c>
      <c r="C6" s="171">
        <v>0</v>
      </c>
      <c r="D6" s="176">
        <v>2.5</v>
      </c>
      <c r="E6" s="176"/>
      <c r="F6" s="176"/>
      <c r="G6" s="176"/>
      <c r="H6" s="176"/>
      <c r="I6" s="176"/>
      <c r="J6" s="187"/>
      <c r="K6" s="171">
        <v>22.64</v>
      </c>
      <c r="L6" s="176"/>
      <c r="M6" s="176">
        <v>8</v>
      </c>
      <c r="N6" s="176">
        <v>9.36</v>
      </c>
      <c r="O6" s="176">
        <v>17.47</v>
      </c>
      <c r="P6" s="176"/>
      <c r="Q6" s="176">
        <v>11.01</v>
      </c>
      <c r="R6" s="176">
        <v>9.53</v>
      </c>
      <c r="S6" s="176">
        <v>11.44</v>
      </c>
      <c r="T6" s="187"/>
      <c r="U6" s="176"/>
      <c r="V6" s="171">
        <v>2</v>
      </c>
      <c r="W6" s="253">
        <f>AVERAGE(C6,D6)</f>
        <v>1.25</v>
      </c>
      <c r="X6" s="254"/>
      <c r="Y6" s="176"/>
      <c r="Z6" s="171">
        <v>7</v>
      </c>
      <c r="AA6" s="254">
        <f>AVERAGE(K6,M6,N6,O6,Q6,R6,S6)</f>
        <v>12.778571428571428</v>
      </c>
      <c r="AB6" s="254"/>
      <c r="AC6" s="187"/>
      <c r="AD6" s="171">
        <v>9</v>
      </c>
      <c r="AE6" s="254">
        <f>AVERAGE(C6,D6,K6,M6,N6,O6,Q6,R6,S6)</f>
        <v>10.216666666666667</v>
      </c>
      <c r="AF6" s="254"/>
      <c r="AG6" s="187"/>
    </row>
    <row r="7" spans="1:33" s="44" customFormat="1" ht="12">
      <c r="A7" s="246" t="s">
        <v>298</v>
      </c>
      <c r="B7" s="229" t="s">
        <v>253</v>
      </c>
      <c r="C7" s="49">
        <v>0</v>
      </c>
      <c r="D7" s="48">
        <v>2.5</v>
      </c>
      <c r="E7" s="48"/>
      <c r="F7" s="48"/>
      <c r="G7" s="48"/>
      <c r="H7" s="48"/>
      <c r="I7" s="48"/>
      <c r="J7" s="153"/>
      <c r="K7" s="49">
        <v>20.74</v>
      </c>
      <c r="L7" s="48"/>
      <c r="M7" s="48"/>
      <c r="N7" s="48"/>
      <c r="O7" s="48">
        <v>10.99</v>
      </c>
      <c r="P7" s="48"/>
      <c r="Q7" s="48">
        <v>11.01</v>
      </c>
      <c r="R7" s="48">
        <v>8.06</v>
      </c>
      <c r="S7" s="48">
        <v>6.1</v>
      </c>
      <c r="T7" s="153"/>
      <c r="U7" s="48"/>
      <c r="V7" s="49" t="s">
        <v>281</v>
      </c>
      <c r="W7" s="243">
        <f>AVERAGE(C7,D7)</f>
        <v>1.25</v>
      </c>
      <c r="X7" s="242">
        <f>AVERAGE(D7)</f>
        <v>2.5</v>
      </c>
      <c r="Y7" s="48" t="s">
        <v>54</v>
      </c>
      <c r="Z7" s="49" t="s">
        <v>282</v>
      </c>
      <c r="AA7" s="242">
        <f>AVERAGE(K7,-O7,Q7,R7,S7)</f>
        <v>6.984</v>
      </c>
      <c r="AB7" s="242">
        <f>AVERAGE(K7,Q7,R7,S7)</f>
        <v>11.477500000000001</v>
      </c>
      <c r="AC7" s="153">
        <f>AVERAGE(O7)</f>
        <v>10.99</v>
      </c>
      <c r="AD7" s="49" t="s">
        <v>273</v>
      </c>
      <c r="AE7" s="242">
        <f>AVERAGE(C7,D7,K7,-O7,Q7,R7,S7)</f>
        <v>5.345714285714286</v>
      </c>
      <c r="AF7" s="242">
        <f>AVERAGE(D7,K7,Q7,R7,S7)</f>
        <v>9.682</v>
      </c>
      <c r="AG7" s="153">
        <f>AVERAGE(O7)</f>
        <v>10.99</v>
      </c>
    </row>
    <row r="8" spans="1:33" s="44" customFormat="1" ht="12">
      <c r="A8" s="247"/>
      <c r="B8" s="248" t="s">
        <v>93</v>
      </c>
      <c r="C8" s="213" t="s">
        <v>274</v>
      </c>
      <c r="D8" s="168" t="s">
        <v>51</v>
      </c>
      <c r="E8" s="168"/>
      <c r="F8" s="168"/>
      <c r="G8" s="168"/>
      <c r="H8" s="168"/>
      <c r="I8" s="168"/>
      <c r="J8" s="170"/>
      <c r="K8" s="213" t="s">
        <v>51</v>
      </c>
      <c r="L8" s="168"/>
      <c r="M8" s="168"/>
      <c r="N8" s="168"/>
      <c r="O8" s="168" t="s">
        <v>50</v>
      </c>
      <c r="P8" s="168"/>
      <c r="Q8" s="168" t="s">
        <v>51</v>
      </c>
      <c r="R8" s="168" t="s">
        <v>51</v>
      </c>
      <c r="S8" s="168" t="s">
        <v>51</v>
      </c>
      <c r="T8" s="170"/>
      <c r="U8" s="168"/>
      <c r="V8" s="213"/>
      <c r="W8" s="168" t="s">
        <v>51</v>
      </c>
      <c r="X8" s="168"/>
      <c r="Y8" s="168"/>
      <c r="Z8" s="213"/>
      <c r="AA8" s="168" t="s">
        <v>51</v>
      </c>
      <c r="AB8" s="168"/>
      <c r="AC8" s="170"/>
      <c r="AD8" s="213"/>
      <c r="AE8" s="168" t="s">
        <v>51</v>
      </c>
      <c r="AF8" s="168"/>
      <c r="AG8" s="170"/>
    </row>
    <row r="9" spans="1:33" s="44" customFormat="1" ht="12">
      <c r="A9" s="246" t="s">
        <v>299</v>
      </c>
      <c r="B9" s="229" t="s">
        <v>12</v>
      </c>
      <c r="C9" s="49">
        <v>1.7</v>
      </c>
      <c r="D9" s="48">
        <v>9.2</v>
      </c>
      <c r="E9" s="48">
        <v>7.9</v>
      </c>
      <c r="F9" s="48">
        <v>3.3</v>
      </c>
      <c r="G9" s="48"/>
      <c r="H9" s="48">
        <v>4.35</v>
      </c>
      <c r="I9" s="48">
        <v>1.29</v>
      </c>
      <c r="J9" s="153">
        <v>4</v>
      </c>
      <c r="K9" s="49">
        <v>15.28</v>
      </c>
      <c r="L9" s="48"/>
      <c r="M9" s="48"/>
      <c r="N9" s="48">
        <v>9.09</v>
      </c>
      <c r="O9" s="48">
        <v>3.55</v>
      </c>
      <c r="P9" s="48">
        <v>13.71</v>
      </c>
      <c r="Q9" s="48">
        <v>16.01</v>
      </c>
      <c r="R9" s="48">
        <v>5.45</v>
      </c>
      <c r="S9" s="48">
        <v>13.28</v>
      </c>
      <c r="T9" s="153">
        <v>0.78</v>
      </c>
      <c r="U9" s="48"/>
      <c r="V9" s="49">
        <v>7</v>
      </c>
      <c r="W9" s="242">
        <f>AVERAGE(C9,D9,E9,F9,H9,I9,J9)</f>
        <v>4.534285714285714</v>
      </c>
      <c r="X9" s="242"/>
      <c r="Y9" s="48"/>
      <c r="Z9" s="49">
        <v>8</v>
      </c>
      <c r="AA9" s="242">
        <f>AVERAGE(K9,N9,O9,P9,Q9,R9,S9,T9)</f>
        <v>9.64375</v>
      </c>
      <c r="AB9" s="242"/>
      <c r="AC9" s="153"/>
      <c r="AD9" s="49">
        <v>15</v>
      </c>
      <c r="AE9" s="242">
        <f>AVERAGE(C9,D9,E9,F9,H9,I9,J9,K9,N9,O9,P9,Q9,R9,S9,T9)</f>
        <v>7.259333333333334</v>
      </c>
      <c r="AF9" s="242"/>
      <c r="AG9" s="153"/>
    </row>
    <row r="10" spans="1:33" s="44" customFormat="1" ht="12">
      <c r="A10" s="246" t="s">
        <v>300</v>
      </c>
      <c r="B10" s="229" t="s">
        <v>253</v>
      </c>
      <c r="C10" s="49">
        <v>1.7</v>
      </c>
      <c r="D10" s="48">
        <v>9.2</v>
      </c>
      <c r="E10" s="48">
        <v>7.9</v>
      </c>
      <c r="F10" s="48">
        <v>3.3</v>
      </c>
      <c r="G10" s="48"/>
      <c r="H10" s="48">
        <v>4.35</v>
      </c>
      <c r="I10" s="48">
        <v>1.29</v>
      </c>
      <c r="J10" s="153">
        <v>4</v>
      </c>
      <c r="K10" s="49">
        <v>15.03</v>
      </c>
      <c r="L10" s="48"/>
      <c r="M10" s="48"/>
      <c r="N10" s="48"/>
      <c r="O10" s="48">
        <v>0.11</v>
      </c>
      <c r="P10" s="48"/>
      <c r="Q10" s="48">
        <v>16.01</v>
      </c>
      <c r="R10" s="48">
        <v>3.04</v>
      </c>
      <c r="S10" s="48">
        <v>6.09</v>
      </c>
      <c r="T10" s="153">
        <v>0.78</v>
      </c>
      <c r="U10" s="48"/>
      <c r="V10" s="49" t="s">
        <v>283</v>
      </c>
      <c r="W10" s="243">
        <f>AVERAGE(-C10,D10,E10,-F10,H10,-I10,J10)</f>
        <v>2.7371428571428567</v>
      </c>
      <c r="X10" s="242">
        <f>AVERAGE(D10,E10,H10,J10)</f>
        <v>6.362500000000001</v>
      </c>
      <c r="Y10" s="242">
        <f>AVERAGE(C10,F10,I10)</f>
        <v>2.0966666666666667</v>
      </c>
      <c r="Z10" s="49" t="s">
        <v>329</v>
      </c>
      <c r="AA10" s="242">
        <f>AVERAGE(K10,O10,Q10,R10,S10,T10)</f>
        <v>6.843333333333334</v>
      </c>
      <c r="AB10" s="242">
        <f>AVERAGE(K10,O10,Q10,R10,S10,T10)</f>
        <v>6.843333333333334</v>
      </c>
      <c r="AC10" s="244" t="s">
        <v>54</v>
      </c>
      <c r="AD10" s="49" t="s">
        <v>330</v>
      </c>
      <c r="AE10" s="242">
        <f>AVERAGE(-C10,D10,E10,-F10,H10,-I10,J10,K10,O10,Q10,R10,S10,T10)</f>
        <v>4.632307692307692</v>
      </c>
      <c r="AF10" s="242">
        <f>AVERAGE(D10,E10,H10,J10,K10,O10,Q10,R10,S10,T10)</f>
        <v>6.651000000000001</v>
      </c>
      <c r="AG10" s="244">
        <f>AVERAGE(C10,F10,I10)</f>
        <v>2.0966666666666667</v>
      </c>
    </row>
    <row r="11" spans="1:33" s="44" customFormat="1" ht="12">
      <c r="A11" s="246"/>
      <c r="B11" s="229" t="s">
        <v>93</v>
      </c>
      <c r="C11" s="49" t="s">
        <v>50</v>
      </c>
      <c r="D11" s="48" t="s">
        <v>51</v>
      </c>
      <c r="E11" s="48" t="s">
        <v>51</v>
      </c>
      <c r="F11" s="48" t="s">
        <v>50</v>
      </c>
      <c r="G11" s="48"/>
      <c r="H11" s="48" t="s">
        <v>51</v>
      </c>
      <c r="I11" s="48" t="s">
        <v>50</v>
      </c>
      <c r="J11" s="153" t="s">
        <v>51</v>
      </c>
      <c r="K11" s="49" t="s">
        <v>51</v>
      </c>
      <c r="L11" s="48"/>
      <c r="M11" s="48"/>
      <c r="N11" s="48"/>
      <c r="O11" s="48" t="s">
        <v>51</v>
      </c>
      <c r="P11" s="48"/>
      <c r="Q11" s="48" t="s">
        <v>51</v>
      </c>
      <c r="R11" s="48" t="s">
        <v>51</v>
      </c>
      <c r="S11" s="48" t="s">
        <v>51</v>
      </c>
      <c r="T11" s="153" t="s">
        <v>51</v>
      </c>
      <c r="U11" s="48"/>
      <c r="V11" s="49"/>
      <c r="W11" s="48" t="s">
        <v>51</v>
      </c>
      <c r="X11" s="48"/>
      <c r="Y11" s="48"/>
      <c r="Z11" s="49"/>
      <c r="AA11" s="48" t="s">
        <v>51</v>
      </c>
      <c r="AB11" s="48"/>
      <c r="AC11" s="153"/>
      <c r="AD11" s="49"/>
      <c r="AE11" s="48" t="s">
        <v>51</v>
      </c>
      <c r="AF11" s="48"/>
      <c r="AG11" s="153"/>
    </row>
    <row r="12" spans="1:33" s="44" customFormat="1" ht="12">
      <c r="A12" s="252" t="s">
        <v>207</v>
      </c>
      <c r="B12" s="239" t="s">
        <v>12</v>
      </c>
      <c r="C12" s="255">
        <v>8.3</v>
      </c>
      <c r="D12" s="176"/>
      <c r="E12" s="176"/>
      <c r="F12" s="176">
        <v>0</v>
      </c>
      <c r="G12" s="176"/>
      <c r="H12" s="176"/>
      <c r="I12" s="176">
        <v>4.16</v>
      </c>
      <c r="J12" s="187"/>
      <c r="K12" s="171">
        <v>26.15</v>
      </c>
      <c r="L12" s="176"/>
      <c r="M12" s="176">
        <v>3.6</v>
      </c>
      <c r="N12" s="176"/>
      <c r="O12" s="176">
        <v>14.91</v>
      </c>
      <c r="P12" s="176">
        <v>23.52</v>
      </c>
      <c r="Q12" s="176">
        <v>10.98</v>
      </c>
      <c r="R12" s="176"/>
      <c r="S12" s="176"/>
      <c r="T12" s="187">
        <v>0.85</v>
      </c>
      <c r="U12" s="176"/>
      <c r="V12" s="171">
        <v>3</v>
      </c>
      <c r="W12" s="254">
        <f>AVERAGE(C12,F12,I12)</f>
        <v>4.153333333333333</v>
      </c>
      <c r="X12" s="254"/>
      <c r="Y12" s="176"/>
      <c r="Z12" s="171">
        <v>6</v>
      </c>
      <c r="AA12" s="254">
        <f>AVERAGE(K12,M12,O12,P12,Q12,T12)</f>
        <v>13.334999999999999</v>
      </c>
      <c r="AB12" s="254"/>
      <c r="AC12" s="187"/>
      <c r="AD12" s="171">
        <v>9</v>
      </c>
      <c r="AE12" s="254">
        <f>AVERAGE(C12,F12,I12,K12,M12,O12,P12,Q12,T12)</f>
        <v>10.274444444444445</v>
      </c>
      <c r="AF12" s="254"/>
      <c r="AG12" s="187"/>
    </row>
    <row r="13" spans="1:33" s="44" customFormat="1" ht="12">
      <c r="A13" s="246"/>
      <c r="B13" s="229" t="s">
        <v>253</v>
      </c>
      <c r="C13" s="245">
        <v>8.3</v>
      </c>
      <c r="D13" s="48"/>
      <c r="E13" s="48"/>
      <c r="F13" s="48">
        <v>0</v>
      </c>
      <c r="G13" s="48"/>
      <c r="H13" s="48"/>
      <c r="I13" s="48">
        <v>4.16</v>
      </c>
      <c r="J13" s="153"/>
      <c r="K13" s="49">
        <v>20.76</v>
      </c>
      <c r="L13" s="48"/>
      <c r="M13" s="48"/>
      <c r="N13" s="48"/>
      <c r="O13" s="48">
        <v>5.82</v>
      </c>
      <c r="P13" s="48"/>
      <c r="Q13" s="48">
        <v>10.98</v>
      </c>
      <c r="R13" s="48"/>
      <c r="S13" s="48"/>
      <c r="T13" s="153">
        <v>0.85</v>
      </c>
      <c r="U13" s="48"/>
      <c r="V13" s="49" t="s">
        <v>284</v>
      </c>
      <c r="W13" s="242">
        <f>AVERAGE(C13,F13,I13)</f>
        <v>4.153333333333333</v>
      </c>
      <c r="X13" s="242" t="s">
        <v>54</v>
      </c>
      <c r="Y13" s="242">
        <f>AVERAGE(C13,I13)</f>
        <v>6.23</v>
      </c>
      <c r="Z13" s="49" t="s">
        <v>295</v>
      </c>
      <c r="AA13" s="243">
        <f>AVERAGE(K13,-O13,Q13,T13)</f>
        <v>6.692500000000001</v>
      </c>
      <c r="AB13" s="242">
        <f>AVERAGE(K13,Q13,T13)</f>
        <v>10.863333333333335</v>
      </c>
      <c r="AC13" s="244">
        <f>AVERAGE(O13)</f>
        <v>5.82</v>
      </c>
      <c r="AD13" s="49" t="s">
        <v>296</v>
      </c>
      <c r="AE13" s="243">
        <f>AVERAGE(-C13,F13,-I13,K13,-O13,Q13,T13)</f>
        <v>2.0442857142857145</v>
      </c>
      <c r="AF13" s="242">
        <f>AVERAGE(K13,Q13,T13)</f>
        <v>10.863333333333335</v>
      </c>
      <c r="AG13" s="244">
        <f>AVERAGE(C13,I13,O13)</f>
        <v>6.093333333333334</v>
      </c>
    </row>
    <row r="14" spans="1:33" s="44" customFormat="1" ht="12">
      <c r="A14" s="247"/>
      <c r="B14" s="248" t="s">
        <v>93</v>
      </c>
      <c r="C14" s="213" t="s">
        <v>50</v>
      </c>
      <c r="D14" s="168"/>
      <c r="E14" s="168"/>
      <c r="F14" s="168" t="s">
        <v>274</v>
      </c>
      <c r="G14" s="168"/>
      <c r="H14" s="168"/>
      <c r="I14" s="168" t="s">
        <v>50</v>
      </c>
      <c r="J14" s="170"/>
      <c r="K14" s="213" t="s">
        <v>51</v>
      </c>
      <c r="L14" s="168"/>
      <c r="M14" s="168"/>
      <c r="N14" s="168"/>
      <c r="O14" s="168" t="s">
        <v>50</v>
      </c>
      <c r="P14" s="168"/>
      <c r="Q14" s="168" t="s">
        <v>51</v>
      </c>
      <c r="R14" s="168"/>
      <c r="S14" s="168"/>
      <c r="T14" s="170" t="s">
        <v>51</v>
      </c>
      <c r="U14" s="168"/>
      <c r="V14" s="213"/>
      <c r="W14" s="168" t="s">
        <v>50</v>
      </c>
      <c r="X14" s="168"/>
      <c r="Y14" s="168"/>
      <c r="Z14" s="213"/>
      <c r="AA14" s="168" t="s">
        <v>51</v>
      </c>
      <c r="AB14" s="168"/>
      <c r="AC14" s="170"/>
      <c r="AD14" s="213"/>
      <c r="AE14" s="168" t="s">
        <v>51</v>
      </c>
      <c r="AF14" s="168"/>
      <c r="AG14" s="170"/>
    </row>
    <row r="15" spans="1:33" s="44" customFormat="1" ht="12">
      <c r="A15" s="246" t="s">
        <v>251</v>
      </c>
      <c r="B15" s="229" t="s">
        <v>12</v>
      </c>
      <c r="C15" s="245">
        <v>0.4</v>
      </c>
      <c r="D15" s="48">
        <v>8.3</v>
      </c>
      <c r="E15" s="48"/>
      <c r="F15" s="48"/>
      <c r="G15" s="48"/>
      <c r="H15" s="48">
        <v>6.25</v>
      </c>
      <c r="I15" s="48">
        <v>2.16</v>
      </c>
      <c r="J15" s="153">
        <v>4.09</v>
      </c>
      <c r="K15" s="49"/>
      <c r="L15" s="48"/>
      <c r="M15" s="48">
        <v>5.71</v>
      </c>
      <c r="N15" s="48"/>
      <c r="O15" s="48"/>
      <c r="P15" s="48"/>
      <c r="Q15" s="48"/>
      <c r="R15" s="48"/>
      <c r="S15" s="48"/>
      <c r="T15" s="153"/>
      <c r="U15" s="48"/>
      <c r="V15" s="49">
        <v>5</v>
      </c>
      <c r="W15" s="242">
        <f>AVERAGE(C15,D15,H15,I15,J15)</f>
        <v>4.24</v>
      </c>
      <c r="X15" s="242"/>
      <c r="Y15" s="48"/>
      <c r="Z15" s="49">
        <v>1</v>
      </c>
      <c r="AA15" s="243">
        <f>AVERAGE(M15)</f>
        <v>5.71</v>
      </c>
      <c r="AB15" s="242"/>
      <c r="AC15" s="153"/>
      <c r="AD15" s="49">
        <v>6</v>
      </c>
      <c r="AE15" s="243">
        <f>AVERAGE(C15,D15,H15,I15,J15,M15)</f>
        <v>4.485</v>
      </c>
      <c r="AF15" s="242"/>
      <c r="AG15" s="153"/>
    </row>
    <row r="16" spans="1:33" s="44" customFormat="1" ht="12">
      <c r="A16" s="246"/>
      <c r="B16" s="229" t="s">
        <v>253</v>
      </c>
      <c r="C16" s="245">
        <v>0.4</v>
      </c>
      <c r="D16" s="48">
        <v>8.3</v>
      </c>
      <c r="E16" s="48"/>
      <c r="F16" s="48"/>
      <c r="G16" s="48"/>
      <c r="H16" s="48">
        <v>6.25</v>
      </c>
      <c r="I16" s="48">
        <v>2.16</v>
      </c>
      <c r="J16" s="153">
        <v>4.09</v>
      </c>
      <c r="K16" s="49"/>
      <c r="L16" s="48"/>
      <c r="M16" s="48"/>
      <c r="N16" s="48"/>
      <c r="O16" s="48"/>
      <c r="P16" s="48"/>
      <c r="Q16" s="48"/>
      <c r="R16" s="48"/>
      <c r="S16" s="48"/>
      <c r="T16" s="153"/>
      <c r="U16" s="48"/>
      <c r="V16" s="49" t="s">
        <v>338</v>
      </c>
      <c r="W16" s="243">
        <f>AVERAGE(-C16,D16,-H16,-I16,J16)</f>
        <v>0.716</v>
      </c>
      <c r="X16" s="242">
        <f>AVERAGE(D16,J16)</f>
        <v>6.195</v>
      </c>
      <c r="Y16" s="242">
        <f>AVERAGE(C16,H16,I16)</f>
        <v>2.936666666666667</v>
      </c>
      <c r="Z16" s="49" t="s">
        <v>54</v>
      </c>
      <c r="AA16" s="242" t="s">
        <v>54</v>
      </c>
      <c r="AB16" s="242" t="s">
        <v>54</v>
      </c>
      <c r="AC16" s="244" t="s">
        <v>54</v>
      </c>
      <c r="AD16" s="49" t="s">
        <v>338</v>
      </c>
      <c r="AE16" s="243">
        <f>AVERAGE(-C16,D16,-H16,-I16,J16)</f>
        <v>0.716</v>
      </c>
      <c r="AF16" s="242">
        <f>AVERAGE(D16,J16)</f>
        <v>6.195</v>
      </c>
      <c r="AG16" s="244">
        <f>AVERAGE(C16,H16,I16)</f>
        <v>2.936666666666667</v>
      </c>
    </row>
    <row r="17" spans="1:33" s="44" customFormat="1" ht="12">
      <c r="A17" s="246"/>
      <c r="B17" s="229" t="s">
        <v>93</v>
      </c>
      <c r="C17" s="49" t="s">
        <v>50</v>
      </c>
      <c r="D17" s="48" t="s">
        <v>51</v>
      </c>
      <c r="E17" s="48"/>
      <c r="F17" s="48"/>
      <c r="G17" s="48"/>
      <c r="H17" s="48" t="s">
        <v>50</v>
      </c>
      <c r="I17" s="48" t="s">
        <v>50</v>
      </c>
      <c r="J17" s="153" t="s">
        <v>51</v>
      </c>
      <c r="K17" s="49"/>
      <c r="L17" s="48"/>
      <c r="M17" s="48"/>
      <c r="N17" s="48"/>
      <c r="O17" s="48"/>
      <c r="P17" s="48"/>
      <c r="Q17" s="48"/>
      <c r="R17" s="48"/>
      <c r="S17" s="48"/>
      <c r="T17" s="153"/>
      <c r="U17" s="48"/>
      <c r="V17" s="49"/>
      <c r="W17" s="48" t="s">
        <v>51</v>
      </c>
      <c r="X17" s="48"/>
      <c r="Y17" s="48"/>
      <c r="Z17" s="49"/>
      <c r="AA17" s="48"/>
      <c r="AB17" s="48"/>
      <c r="AC17" s="153"/>
      <c r="AD17" s="49"/>
      <c r="AE17" s="48" t="s">
        <v>51</v>
      </c>
      <c r="AF17" s="48"/>
      <c r="AG17" s="153"/>
    </row>
    <row r="18" spans="1:33" s="44" customFormat="1" ht="12">
      <c r="A18" s="252" t="s">
        <v>331</v>
      </c>
      <c r="B18" s="239" t="s">
        <v>12</v>
      </c>
      <c r="C18" s="255">
        <v>3.3</v>
      </c>
      <c r="D18" s="176">
        <v>5</v>
      </c>
      <c r="E18" s="176"/>
      <c r="F18" s="176">
        <v>0</v>
      </c>
      <c r="G18" s="176"/>
      <c r="H18" s="176"/>
      <c r="I18" s="176"/>
      <c r="J18" s="187">
        <v>4</v>
      </c>
      <c r="K18" s="171"/>
      <c r="L18" s="176"/>
      <c r="M18" s="176"/>
      <c r="N18" s="176"/>
      <c r="O18" s="176"/>
      <c r="P18" s="176"/>
      <c r="Q18" s="176"/>
      <c r="R18" s="176">
        <v>9.53</v>
      </c>
      <c r="S18" s="176"/>
      <c r="T18" s="187"/>
      <c r="U18" s="176"/>
      <c r="V18" s="171">
        <v>4</v>
      </c>
      <c r="W18" s="253">
        <f>AVERAGE(C18,D18,F18,J18)</f>
        <v>3.075</v>
      </c>
      <c r="X18" s="254"/>
      <c r="Y18" s="176"/>
      <c r="Z18" s="171">
        <v>1</v>
      </c>
      <c r="AA18" s="254">
        <f>AVERAGE(R18)</f>
        <v>9.53</v>
      </c>
      <c r="AB18" s="254"/>
      <c r="AC18" s="187"/>
      <c r="AD18" s="171">
        <v>5</v>
      </c>
      <c r="AE18" s="253">
        <f>AVERAGE(C18,D18,F18,J18,R18)</f>
        <v>4.366</v>
      </c>
      <c r="AF18" s="254"/>
      <c r="AG18" s="187"/>
    </row>
    <row r="19" spans="1:33" s="44" customFormat="1" ht="12">
      <c r="A19" s="246" t="s">
        <v>305</v>
      </c>
      <c r="B19" s="229" t="s">
        <v>253</v>
      </c>
      <c r="C19" s="245">
        <v>3.3</v>
      </c>
      <c r="D19" s="48">
        <v>5</v>
      </c>
      <c r="E19" s="48"/>
      <c r="F19" s="48">
        <v>0</v>
      </c>
      <c r="G19" s="48"/>
      <c r="H19" s="48"/>
      <c r="I19" s="48"/>
      <c r="J19" s="153">
        <v>4</v>
      </c>
      <c r="K19" s="49"/>
      <c r="L19" s="48"/>
      <c r="M19" s="48"/>
      <c r="N19" s="48"/>
      <c r="O19" s="48"/>
      <c r="P19" s="48"/>
      <c r="Q19" s="48"/>
      <c r="R19" s="48">
        <v>6.07</v>
      </c>
      <c r="S19" s="48"/>
      <c r="T19" s="153"/>
      <c r="U19" s="48"/>
      <c r="V19" s="49" t="s">
        <v>285</v>
      </c>
      <c r="W19" s="243">
        <f>AVERAGE(-C19,D19,F19,J19)</f>
        <v>1.425</v>
      </c>
      <c r="X19" s="242">
        <f>AVERAGE(D19,J19)</f>
        <v>4.5</v>
      </c>
      <c r="Y19" s="242">
        <f>AVERAGE(C19)</f>
        <v>3.3</v>
      </c>
      <c r="Z19" s="49" t="s">
        <v>280</v>
      </c>
      <c r="AA19" s="242">
        <f>AVERAGE(R19)</f>
        <v>6.07</v>
      </c>
      <c r="AB19" s="242">
        <f>AVERAGE(R19)</f>
        <v>6.07</v>
      </c>
      <c r="AC19" s="244" t="s">
        <v>54</v>
      </c>
      <c r="AD19" s="49" t="s">
        <v>275</v>
      </c>
      <c r="AE19" s="243">
        <f>AVERAGE(-C19,D19,F19,J19,R19)</f>
        <v>2.354</v>
      </c>
      <c r="AF19" s="242">
        <f>AVERAGE(D19,J19,R19)</f>
        <v>5.023333333333333</v>
      </c>
      <c r="AG19" s="244">
        <f>AVERAGE(C19)</f>
        <v>3.3</v>
      </c>
    </row>
    <row r="20" spans="1:33" s="44" customFormat="1" ht="12">
      <c r="A20" s="247"/>
      <c r="B20" s="248" t="s">
        <v>93</v>
      </c>
      <c r="C20" s="213" t="s">
        <v>50</v>
      </c>
      <c r="D20" s="168" t="s">
        <v>51</v>
      </c>
      <c r="E20" s="168"/>
      <c r="F20" s="168" t="s">
        <v>274</v>
      </c>
      <c r="G20" s="168"/>
      <c r="H20" s="168"/>
      <c r="I20" s="168"/>
      <c r="J20" s="170" t="s">
        <v>51</v>
      </c>
      <c r="K20" s="213"/>
      <c r="L20" s="168"/>
      <c r="M20" s="168"/>
      <c r="N20" s="168"/>
      <c r="O20" s="168"/>
      <c r="P20" s="168"/>
      <c r="Q20" s="168"/>
      <c r="R20" s="168" t="s">
        <v>51</v>
      </c>
      <c r="S20" s="168"/>
      <c r="T20" s="170"/>
      <c r="U20" s="168"/>
      <c r="V20" s="213"/>
      <c r="W20" s="168" t="s">
        <v>51</v>
      </c>
      <c r="X20" s="168"/>
      <c r="Y20" s="168"/>
      <c r="Z20" s="213"/>
      <c r="AA20" s="168" t="s">
        <v>51</v>
      </c>
      <c r="AB20" s="168"/>
      <c r="AC20" s="170"/>
      <c r="AD20" s="213"/>
      <c r="AE20" s="168" t="s">
        <v>51</v>
      </c>
      <c r="AF20" s="168"/>
      <c r="AG20" s="170"/>
    </row>
    <row r="21" spans="1:33" s="44" customFormat="1" ht="12">
      <c r="A21" s="246" t="s">
        <v>252</v>
      </c>
      <c r="B21" s="229" t="s">
        <v>12</v>
      </c>
      <c r="C21" s="49"/>
      <c r="D21" s="48">
        <v>6.7</v>
      </c>
      <c r="E21" s="48"/>
      <c r="F21" s="48"/>
      <c r="G21" s="48"/>
      <c r="H21" s="48"/>
      <c r="I21" s="48"/>
      <c r="J21" s="153"/>
      <c r="K21" s="49"/>
      <c r="L21" s="48"/>
      <c r="M21" s="48">
        <v>4.55</v>
      </c>
      <c r="N21" s="48"/>
      <c r="O21" s="48"/>
      <c r="P21" s="48"/>
      <c r="Q21" s="48"/>
      <c r="R21" s="48">
        <v>8.21</v>
      </c>
      <c r="S21" s="48">
        <v>19.7</v>
      </c>
      <c r="T21" s="153"/>
      <c r="U21" s="48"/>
      <c r="V21" s="49">
        <v>1</v>
      </c>
      <c r="W21" s="242">
        <f>AVERAGE(D21)</f>
        <v>6.7</v>
      </c>
      <c r="X21" s="48"/>
      <c r="Y21" s="48"/>
      <c r="Z21" s="49">
        <v>3</v>
      </c>
      <c r="AA21" s="242">
        <f>AVERAGE(M21,R21,S21)</f>
        <v>10.82</v>
      </c>
      <c r="AB21" s="48"/>
      <c r="AC21" s="153"/>
      <c r="AD21" s="49">
        <v>4</v>
      </c>
      <c r="AE21" s="242">
        <f>AVERAGE(D21,M21,R21,S21)</f>
        <v>9.79</v>
      </c>
      <c r="AF21" s="48"/>
      <c r="AG21" s="153"/>
    </row>
    <row r="22" spans="1:33" s="44" customFormat="1" ht="12">
      <c r="A22" s="246" t="s">
        <v>303</v>
      </c>
      <c r="B22" s="229" t="s">
        <v>253</v>
      </c>
      <c r="C22" s="49"/>
      <c r="D22" s="48">
        <v>6.7</v>
      </c>
      <c r="E22" s="48"/>
      <c r="F22" s="48"/>
      <c r="G22" s="48"/>
      <c r="H22" s="48"/>
      <c r="I22" s="48"/>
      <c r="J22" s="153"/>
      <c r="K22" s="49"/>
      <c r="L22" s="48"/>
      <c r="M22" s="48"/>
      <c r="N22" s="48"/>
      <c r="O22" s="48"/>
      <c r="P22" s="48"/>
      <c r="Q22" s="48"/>
      <c r="R22" s="48">
        <v>4.75</v>
      </c>
      <c r="S22" s="48">
        <v>16.66</v>
      </c>
      <c r="T22" s="153"/>
      <c r="U22" s="48"/>
      <c r="V22" s="49" t="s">
        <v>280</v>
      </c>
      <c r="W22" s="242">
        <f>AVERAGE(D22)</f>
        <v>6.7</v>
      </c>
      <c r="X22" s="242">
        <f>AVERAGE(D22)</f>
        <v>6.7</v>
      </c>
      <c r="Y22" s="48" t="s">
        <v>54</v>
      </c>
      <c r="Z22" s="49" t="s">
        <v>278</v>
      </c>
      <c r="AA22" s="242">
        <f>AVERAGE(R22,S22)</f>
        <v>10.705</v>
      </c>
      <c r="AB22" s="242">
        <f>AVERAGE(R22,S22)</f>
        <v>10.705</v>
      </c>
      <c r="AC22" s="153" t="s">
        <v>54</v>
      </c>
      <c r="AD22" s="49" t="s">
        <v>276</v>
      </c>
      <c r="AE22" s="242">
        <f>AVERAGE(D22,R22,S22)</f>
        <v>9.37</v>
      </c>
      <c r="AF22" s="242">
        <f>AVERAGE(D22,R22,S22)</f>
        <v>9.37</v>
      </c>
      <c r="AG22" s="153" t="s">
        <v>54</v>
      </c>
    </row>
    <row r="23" spans="1:33" s="44" customFormat="1" ht="12">
      <c r="A23" s="246"/>
      <c r="B23" s="229" t="s">
        <v>93</v>
      </c>
      <c r="C23" s="49"/>
      <c r="D23" s="48" t="s">
        <v>51</v>
      </c>
      <c r="E23" s="48"/>
      <c r="F23" s="48"/>
      <c r="G23" s="48"/>
      <c r="H23" s="48"/>
      <c r="I23" s="48"/>
      <c r="J23" s="153"/>
      <c r="K23" s="49"/>
      <c r="L23" s="48"/>
      <c r="M23" s="48"/>
      <c r="N23" s="48"/>
      <c r="O23" s="48"/>
      <c r="P23" s="48"/>
      <c r="Q23" s="48"/>
      <c r="R23" s="48" t="s">
        <v>51</v>
      </c>
      <c r="S23" s="48" t="s">
        <v>51</v>
      </c>
      <c r="T23" s="153"/>
      <c r="U23" s="48"/>
      <c r="V23" s="49"/>
      <c r="W23" s="48" t="s">
        <v>51</v>
      </c>
      <c r="X23" s="48"/>
      <c r="Y23" s="48"/>
      <c r="Z23" s="49"/>
      <c r="AA23" s="48" t="s">
        <v>51</v>
      </c>
      <c r="AB23" s="48"/>
      <c r="AC23" s="153"/>
      <c r="AD23" s="49"/>
      <c r="AE23" s="48" t="s">
        <v>51</v>
      </c>
      <c r="AF23" s="48"/>
      <c r="AG23" s="153"/>
    </row>
    <row r="24" spans="1:33" s="44" customFormat="1" ht="12">
      <c r="A24" s="252" t="s">
        <v>38</v>
      </c>
      <c r="B24" s="239" t="s">
        <v>12</v>
      </c>
      <c r="C24" s="171"/>
      <c r="D24" s="176"/>
      <c r="E24" s="176">
        <v>8.3</v>
      </c>
      <c r="F24" s="176"/>
      <c r="G24" s="176"/>
      <c r="H24" s="176">
        <v>3.9</v>
      </c>
      <c r="I24" s="176">
        <v>6.18</v>
      </c>
      <c r="J24" s="187">
        <v>9.05</v>
      </c>
      <c r="K24" s="171"/>
      <c r="L24" s="176"/>
      <c r="M24" s="176"/>
      <c r="N24" s="176"/>
      <c r="O24" s="176"/>
      <c r="P24" s="176"/>
      <c r="Q24" s="176"/>
      <c r="R24" s="176"/>
      <c r="S24" s="176"/>
      <c r="T24" s="187"/>
      <c r="U24" s="176"/>
      <c r="V24" s="171">
        <v>4</v>
      </c>
      <c r="W24" s="254">
        <f>AVERAGE(E24,H24,I24,J24)</f>
        <v>6.857500000000001</v>
      </c>
      <c r="X24" s="176"/>
      <c r="Y24" s="176"/>
      <c r="Z24" s="171">
        <v>0</v>
      </c>
      <c r="AA24" s="254"/>
      <c r="AB24" s="176"/>
      <c r="AC24" s="187"/>
      <c r="AD24" s="171">
        <v>4</v>
      </c>
      <c r="AE24" s="254">
        <f>AVERAGE(E24,H24,I24,J24)</f>
        <v>6.857500000000001</v>
      </c>
      <c r="AF24" s="176"/>
      <c r="AG24" s="187"/>
    </row>
    <row r="25" spans="1:33" s="44" customFormat="1" ht="12">
      <c r="A25" s="246" t="s">
        <v>303</v>
      </c>
      <c r="B25" s="229" t="s">
        <v>253</v>
      </c>
      <c r="C25" s="49"/>
      <c r="D25" s="48"/>
      <c r="E25" s="48">
        <v>8.3</v>
      </c>
      <c r="F25" s="48"/>
      <c r="G25" s="48"/>
      <c r="H25" s="48">
        <v>3.9</v>
      </c>
      <c r="I25" s="48">
        <v>6.18</v>
      </c>
      <c r="J25" s="153">
        <v>9.05</v>
      </c>
      <c r="K25" s="49"/>
      <c r="L25" s="48"/>
      <c r="M25" s="48"/>
      <c r="N25" s="48"/>
      <c r="O25" s="48"/>
      <c r="P25" s="48"/>
      <c r="Q25" s="48"/>
      <c r="R25" s="48"/>
      <c r="S25" s="48"/>
      <c r="T25" s="153"/>
      <c r="U25" s="48"/>
      <c r="V25" s="49" t="s">
        <v>277</v>
      </c>
      <c r="W25" s="242">
        <f>AVERAGE(E25,H25,I25,J25)</f>
        <v>6.857500000000001</v>
      </c>
      <c r="X25" s="242">
        <f>AVERAGE(E25,H25,I25,J25)</f>
        <v>6.857500000000001</v>
      </c>
      <c r="Y25" s="48" t="s">
        <v>54</v>
      </c>
      <c r="Z25" s="49"/>
      <c r="AA25" s="242"/>
      <c r="AB25" s="242"/>
      <c r="AC25" s="153"/>
      <c r="AD25" s="49" t="s">
        <v>277</v>
      </c>
      <c r="AE25" s="242">
        <f>AVERAGE(E25,H25,I25,J25)</f>
        <v>6.857500000000001</v>
      </c>
      <c r="AF25" s="242">
        <f>AVERAGE(E25,H25,I25,J25)</f>
        <v>6.857500000000001</v>
      </c>
      <c r="AG25" s="153" t="s">
        <v>54</v>
      </c>
    </row>
    <row r="26" spans="1:33" s="44" customFormat="1" ht="12">
      <c r="A26" s="247"/>
      <c r="B26" s="248" t="s">
        <v>93</v>
      </c>
      <c r="C26" s="213"/>
      <c r="D26" s="168"/>
      <c r="E26" s="168" t="s">
        <v>51</v>
      </c>
      <c r="F26" s="168"/>
      <c r="G26" s="168"/>
      <c r="H26" s="168" t="s">
        <v>51</v>
      </c>
      <c r="I26" s="168" t="s">
        <v>51</v>
      </c>
      <c r="J26" s="170" t="s">
        <v>51</v>
      </c>
      <c r="K26" s="213"/>
      <c r="L26" s="168"/>
      <c r="M26" s="168"/>
      <c r="N26" s="168"/>
      <c r="O26" s="168"/>
      <c r="P26" s="168"/>
      <c r="Q26" s="168"/>
      <c r="R26" s="168"/>
      <c r="S26" s="168"/>
      <c r="T26" s="170"/>
      <c r="U26" s="168"/>
      <c r="V26" s="213"/>
      <c r="W26" s="168" t="s">
        <v>51</v>
      </c>
      <c r="X26" s="168"/>
      <c r="Y26" s="168"/>
      <c r="Z26" s="213"/>
      <c r="AA26" s="168"/>
      <c r="AB26" s="168"/>
      <c r="AC26" s="170"/>
      <c r="AD26" s="213"/>
      <c r="AE26" s="168" t="s">
        <v>51</v>
      </c>
      <c r="AF26" s="168"/>
      <c r="AG26" s="170"/>
    </row>
    <row r="27" spans="1:33" s="44" customFormat="1" ht="12">
      <c r="A27" s="246" t="s">
        <v>255</v>
      </c>
      <c r="B27" s="229" t="s">
        <v>12</v>
      </c>
      <c r="C27" s="49">
        <v>4.2</v>
      </c>
      <c r="D27" s="48"/>
      <c r="E27" s="48"/>
      <c r="F27" s="48"/>
      <c r="G27" s="48"/>
      <c r="H27" s="48"/>
      <c r="I27" s="48"/>
      <c r="J27" s="153"/>
      <c r="K27" s="49">
        <v>7.04</v>
      </c>
      <c r="L27" s="48"/>
      <c r="M27" s="48">
        <v>2.31</v>
      </c>
      <c r="N27" s="48">
        <v>6.88</v>
      </c>
      <c r="O27" s="48">
        <v>8.27</v>
      </c>
      <c r="P27" s="48"/>
      <c r="Q27" s="48"/>
      <c r="R27" s="48"/>
      <c r="S27" s="48"/>
      <c r="T27" s="153"/>
      <c r="U27" s="48"/>
      <c r="V27" s="49">
        <v>1</v>
      </c>
      <c r="W27" s="242">
        <f>AVERAGE(C27)</f>
        <v>4.2</v>
      </c>
      <c r="X27" s="48"/>
      <c r="Y27" s="48"/>
      <c r="Z27" s="49">
        <v>4</v>
      </c>
      <c r="AA27" s="242">
        <f>AVERAGE(K27,M27,N27,O27)</f>
        <v>6.125</v>
      </c>
      <c r="AB27" s="48"/>
      <c r="AC27" s="153"/>
      <c r="AD27" s="49">
        <v>5</v>
      </c>
      <c r="AE27" s="243">
        <f>AVERAGE(C27,K27,M27,N27,O27)</f>
        <v>5.74</v>
      </c>
      <c r="AF27" s="48"/>
      <c r="AG27" s="153"/>
    </row>
    <row r="28" spans="1:33" s="44" customFormat="1" ht="12">
      <c r="A28" s="246" t="s">
        <v>304</v>
      </c>
      <c r="B28" s="229" t="s">
        <v>253</v>
      </c>
      <c r="C28" s="49">
        <v>4.2</v>
      </c>
      <c r="D28" s="48"/>
      <c r="E28" s="48"/>
      <c r="F28" s="48"/>
      <c r="G28" s="48"/>
      <c r="H28" s="48"/>
      <c r="I28" s="48"/>
      <c r="J28" s="153"/>
      <c r="K28" s="49">
        <v>3.69</v>
      </c>
      <c r="L28" s="48"/>
      <c r="M28" s="48"/>
      <c r="N28" s="48"/>
      <c r="O28" s="48">
        <v>1.07</v>
      </c>
      <c r="P28" s="48"/>
      <c r="Q28" s="48"/>
      <c r="R28" s="48"/>
      <c r="S28" s="48"/>
      <c r="T28" s="153"/>
      <c r="U28" s="48"/>
      <c r="V28" s="49" t="s">
        <v>306</v>
      </c>
      <c r="W28" s="242">
        <f>AVERAGE(C28)</f>
        <v>4.2</v>
      </c>
      <c r="X28" s="48"/>
      <c r="Y28" s="242">
        <f>AVERAGE(C28)</f>
        <v>4.2</v>
      </c>
      <c r="Z28" s="49" t="s">
        <v>328</v>
      </c>
      <c r="AA28" s="243">
        <f>AVERAGE(K28,-O28)</f>
        <v>1.31</v>
      </c>
      <c r="AB28" s="48">
        <f>AVERAGE(K28)</f>
        <v>3.69</v>
      </c>
      <c r="AC28" s="153">
        <f>AVERAGE(O28)</f>
        <v>1.07</v>
      </c>
      <c r="AD28" s="49" t="s">
        <v>327</v>
      </c>
      <c r="AE28" s="243">
        <f>AVERAGE(-C28,K28,-O28)</f>
        <v>-0.5266666666666667</v>
      </c>
      <c r="AF28" s="48">
        <f>AVERAGE(K28)</f>
        <v>3.69</v>
      </c>
      <c r="AG28" s="244">
        <f>AVERAGE(C28,O28)</f>
        <v>2.6350000000000002</v>
      </c>
    </row>
    <row r="29" spans="1:33" s="44" customFormat="1" ht="12">
      <c r="A29" s="247"/>
      <c r="B29" s="248" t="s">
        <v>93</v>
      </c>
      <c r="C29" s="213" t="s">
        <v>50</v>
      </c>
      <c r="D29" s="168"/>
      <c r="E29" s="168"/>
      <c r="F29" s="168"/>
      <c r="G29" s="168"/>
      <c r="H29" s="168"/>
      <c r="I29" s="168"/>
      <c r="J29" s="170"/>
      <c r="K29" s="213" t="s">
        <v>51</v>
      </c>
      <c r="L29" s="168"/>
      <c r="M29" s="168"/>
      <c r="N29" s="168"/>
      <c r="O29" s="168" t="s">
        <v>50</v>
      </c>
      <c r="P29" s="168"/>
      <c r="Q29" s="168"/>
      <c r="R29" s="168"/>
      <c r="S29" s="168"/>
      <c r="T29" s="170"/>
      <c r="U29" s="168"/>
      <c r="V29" s="213"/>
      <c r="W29" s="168" t="s">
        <v>50</v>
      </c>
      <c r="X29" s="168"/>
      <c r="Y29" s="168"/>
      <c r="Z29" s="213"/>
      <c r="AA29" s="168" t="s">
        <v>51</v>
      </c>
      <c r="AB29" s="168"/>
      <c r="AC29" s="170"/>
      <c r="AD29" s="213"/>
      <c r="AE29" s="168" t="s">
        <v>50</v>
      </c>
      <c r="AF29" s="168"/>
      <c r="AG29" s="170"/>
    </row>
  </sheetData>
  <sheetProtection/>
  <mergeCells count="5">
    <mergeCell ref="AD1:AG1"/>
    <mergeCell ref="V1:Y1"/>
    <mergeCell ref="Z1:AC1"/>
    <mergeCell ref="C1:J1"/>
    <mergeCell ref="K1:T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7">
      <selection activeCell="N25" sqref="N25"/>
    </sheetView>
  </sheetViews>
  <sheetFormatPr defaultColWidth="9.140625" defaultRowHeight="12.75"/>
  <cols>
    <col min="1" max="1" width="12.421875" style="2" customWidth="1"/>
    <col min="2" max="2" width="5.57421875" style="2" customWidth="1"/>
    <col min="3" max="4" width="6.28125" style="0" customWidth="1"/>
    <col min="5" max="6" width="5.7109375" style="0" customWidth="1"/>
    <col min="7" max="7" width="6.00390625" style="0" customWidth="1"/>
    <col min="8" max="8" width="7.00390625" style="0" customWidth="1"/>
    <col min="9" max="9" width="6.421875" style="0" customWidth="1"/>
    <col min="10" max="10" width="5.8515625" style="0" customWidth="1"/>
    <col min="11" max="11" width="6.00390625" style="0" customWidth="1"/>
    <col min="12" max="12" width="6.57421875" style="0" customWidth="1"/>
    <col min="13" max="13" width="6.421875" style="0" customWidth="1"/>
    <col min="14" max="14" width="7.28125" style="0" customWidth="1"/>
    <col min="15" max="15" width="6.421875" style="0" customWidth="1"/>
    <col min="16" max="18" width="6.57421875" style="0" customWidth="1"/>
    <col min="19" max="19" width="6.28125" style="0" customWidth="1"/>
    <col min="20" max="20" width="7.8515625" style="0" customWidth="1"/>
    <col min="21" max="21" width="6.8515625" style="0" customWidth="1"/>
    <col min="22" max="22" width="10.00390625" style="0" customWidth="1"/>
    <col min="23" max="23" width="8.7109375" style="0" customWidth="1"/>
    <col min="24" max="24" width="5.7109375" style="0" customWidth="1"/>
    <col min="25" max="25" width="6.140625" style="0" customWidth="1"/>
    <col min="26" max="26" width="6.421875" style="0" customWidth="1"/>
    <col min="27" max="27" width="12.28125" style="0" bestFit="1" customWidth="1"/>
  </cols>
  <sheetData>
    <row r="1" spans="1:23" ht="12.75">
      <c r="A1" s="340" t="s">
        <v>317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</row>
    <row r="2" spans="1:23" ht="12.75">
      <c r="A2" s="332"/>
      <c r="B2" s="331">
        <v>1996</v>
      </c>
      <c r="C2" s="331"/>
      <c r="D2" s="331"/>
      <c r="E2" s="331"/>
      <c r="F2" s="331"/>
      <c r="G2" s="319"/>
      <c r="H2" s="334">
        <v>2002</v>
      </c>
      <c r="I2" s="334"/>
      <c r="J2" s="334"/>
      <c r="K2" s="334"/>
      <c r="L2" s="334"/>
      <c r="M2" s="334"/>
      <c r="N2" s="318">
        <v>2005</v>
      </c>
      <c r="O2" s="331"/>
      <c r="P2" s="331"/>
      <c r="Q2" s="331"/>
      <c r="R2" s="331"/>
      <c r="S2" s="342" t="s">
        <v>92</v>
      </c>
      <c r="T2" s="325" t="s">
        <v>51</v>
      </c>
      <c r="U2" s="327" t="s">
        <v>50</v>
      </c>
      <c r="V2" s="329" t="s">
        <v>46</v>
      </c>
      <c r="W2" s="320" t="s">
        <v>66</v>
      </c>
    </row>
    <row r="3" spans="1:23" ht="12.75">
      <c r="A3" s="333"/>
      <c r="B3" s="5" t="s">
        <v>43</v>
      </c>
      <c r="C3" s="5" t="s">
        <v>318</v>
      </c>
      <c r="D3" s="3" t="s">
        <v>38</v>
      </c>
      <c r="E3" s="3" t="s">
        <v>319</v>
      </c>
      <c r="F3" s="3" t="s">
        <v>76</v>
      </c>
      <c r="G3" s="3" t="s">
        <v>251</v>
      </c>
      <c r="H3" s="20" t="s">
        <v>318</v>
      </c>
      <c r="I3" s="17" t="s">
        <v>252</v>
      </c>
      <c r="J3" s="17" t="s">
        <v>43</v>
      </c>
      <c r="K3" s="17" t="s">
        <v>323</v>
      </c>
      <c r="L3" s="17" t="s">
        <v>297</v>
      </c>
      <c r="M3" s="17" t="s">
        <v>324</v>
      </c>
      <c r="N3" s="20" t="s">
        <v>320</v>
      </c>
      <c r="O3" s="17" t="s">
        <v>297</v>
      </c>
      <c r="P3" s="17" t="s">
        <v>43</v>
      </c>
      <c r="Q3" s="17" t="s">
        <v>321</v>
      </c>
      <c r="R3" s="18" t="s">
        <v>322</v>
      </c>
      <c r="S3" s="343"/>
      <c r="T3" s="326"/>
      <c r="U3" s="328"/>
      <c r="V3" s="330"/>
      <c r="W3" s="321"/>
    </row>
    <row r="4" spans="1:23" ht="12.75">
      <c r="A4" s="16" t="s">
        <v>310</v>
      </c>
      <c r="B4" s="17">
        <v>1</v>
      </c>
      <c r="C4" s="17">
        <v>1</v>
      </c>
      <c r="D4" s="17">
        <v>1</v>
      </c>
      <c r="E4" s="17">
        <v>1</v>
      </c>
      <c r="F4" s="17">
        <v>1</v>
      </c>
      <c r="G4" s="17">
        <v>1</v>
      </c>
      <c r="H4" s="20">
        <v>-15.8</v>
      </c>
      <c r="I4" s="17">
        <v>-15.8</v>
      </c>
      <c r="J4" s="17">
        <v>-15.8</v>
      </c>
      <c r="K4" s="17">
        <v>-15.8</v>
      </c>
      <c r="L4" s="17">
        <v>-15.8</v>
      </c>
      <c r="M4" s="17">
        <v>-15.8</v>
      </c>
      <c r="N4" s="20">
        <v>11.75</v>
      </c>
      <c r="O4" s="17">
        <v>11.75</v>
      </c>
      <c r="P4" s="17">
        <v>11.75</v>
      </c>
      <c r="Q4" s="17">
        <v>11.75</v>
      </c>
      <c r="R4" s="18">
        <v>11.75</v>
      </c>
      <c r="S4" s="20"/>
      <c r="T4" s="17"/>
      <c r="U4" s="18"/>
      <c r="V4" s="27"/>
      <c r="W4" s="22"/>
    </row>
    <row r="5" spans="1:23" ht="12.75">
      <c r="A5" s="10" t="s">
        <v>311</v>
      </c>
      <c r="B5" s="3">
        <v>-3</v>
      </c>
      <c r="C5" s="3">
        <v>-3</v>
      </c>
      <c r="D5" s="3">
        <v>-8.05</v>
      </c>
      <c r="E5" s="3">
        <v>-10.6</v>
      </c>
      <c r="F5" s="3">
        <v>-4</v>
      </c>
      <c r="G5" s="3">
        <v>-3.09</v>
      </c>
      <c r="H5" s="13">
        <v>-21.87</v>
      </c>
      <c r="I5" s="3">
        <v>-20.55</v>
      </c>
      <c r="J5" s="3">
        <v>-18.84</v>
      </c>
      <c r="K5" s="3">
        <v>-9.28</v>
      </c>
      <c r="L5" s="3">
        <v>-23.86</v>
      </c>
      <c r="M5" s="3">
        <v>-25.43</v>
      </c>
      <c r="N5" s="13">
        <v>12.82</v>
      </c>
      <c r="O5" s="3">
        <v>22.74</v>
      </c>
      <c r="P5" s="3">
        <v>11.64</v>
      </c>
      <c r="Q5" s="3">
        <v>17.57</v>
      </c>
      <c r="R5" s="14">
        <v>2.82</v>
      </c>
      <c r="S5" s="13"/>
      <c r="T5" s="3"/>
      <c r="U5" s="14"/>
      <c r="V5" s="4"/>
      <c r="W5" s="24"/>
    </row>
    <row r="6" spans="1:23" ht="12.75">
      <c r="A6" s="8" t="s">
        <v>312</v>
      </c>
      <c r="B6" s="7">
        <f aca="true" t="shared" si="0" ref="B6:R6">B4-B5</f>
        <v>4</v>
      </c>
      <c r="C6" s="7">
        <f t="shared" si="0"/>
        <v>4</v>
      </c>
      <c r="D6" s="7">
        <f t="shared" si="0"/>
        <v>9.05</v>
      </c>
      <c r="E6" s="7">
        <f t="shared" si="0"/>
        <v>11.6</v>
      </c>
      <c r="F6" s="7">
        <f t="shared" si="0"/>
        <v>5</v>
      </c>
      <c r="G6" s="7">
        <f t="shared" si="0"/>
        <v>4.09</v>
      </c>
      <c r="H6" s="21">
        <f t="shared" si="0"/>
        <v>6.07</v>
      </c>
      <c r="I6" s="7">
        <f t="shared" si="0"/>
        <v>4.75</v>
      </c>
      <c r="J6" s="7">
        <f t="shared" si="0"/>
        <v>3.039999999999999</v>
      </c>
      <c r="K6" s="7">
        <f t="shared" si="0"/>
        <v>-6.520000000000001</v>
      </c>
      <c r="L6" s="7">
        <f t="shared" si="0"/>
        <v>8.059999999999999</v>
      </c>
      <c r="M6" s="7">
        <f t="shared" si="0"/>
        <v>9.629999999999999</v>
      </c>
      <c r="N6" s="21">
        <f t="shared" si="0"/>
        <v>-1.0700000000000003</v>
      </c>
      <c r="O6" s="7">
        <f t="shared" si="0"/>
        <v>-10.989999999999998</v>
      </c>
      <c r="P6" s="7">
        <f t="shared" si="0"/>
        <v>0.10999999999999943</v>
      </c>
      <c r="Q6" s="7">
        <f t="shared" si="0"/>
        <v>-5.82</v>
      </c>
      <c r="R6" s="19">
        <f t="shared" si="0"/>
        <v>8.93</v>
      </c>
      <c r="S6" s="21">
        <v>17</v>
      </c>
      <c r="T6" s="25">
        <v>13</v>
      </c>
      <c r="U6" s="19">
        <v>4</v>
      </c>
      <c r="V6" s="29">
        <f>AVERAGE(B6:M6)</f>
        <v>5.230833333333332</v>
      </c>
      <c r="W6" s="26">
        <f>SUM(B6:M6)</f>
        <v>62.76999999999998</v>
      </c>
    </row>
    <row r="7" ht="12.75">
      <c r="T7" s="1">
        <f>T6/S6</f>
        <v>0.7647058823529411</v>
      </c>
    </row>
    <row r="10" spans="1:13" ht="12.75">
      <c r="A10" s="322" t="s">
        <v>316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4"/>
    </row>
    <row r="11" spans="1:13" ht="12.75">
      <c r="A11" s="335"/>
      <c r="B11" s="318">
        <v>1984</v>
      </c>
      <c r="C11" s="331"/>
      <c r="D11" s="318">
        <v>1996</v>
      </c>
      <c r="E11" s="331"/>
      <c r="F11" s="331"/>
      <c r="G11" s="331"/>
      <c r="H11" s="331"/>
      <c r="I11" s="319"/>
      <c r="J11" s="331">
        <v>2005</v>
      </c>
      <c r="K11" s="319"/>
      <c r="L11" s="324" t="s">
        <v>46</v>
      </c>
      <c r="M11" s="338" t="s">
        <v>66</v>
      </c>
    </row>
    <row r="12" spans="1:13" ht="12.75">
      <c r="A12" s="336"/>
      <c r="B12" s="12" t="s">
        <v>43</v>
      </c>
      <c r="C12" s="5" t="s">
        <v>325</v>
      </c>
      <c r="D12" s="12" t="s">
        <v>43</v>
      </c>
      <c r="E12" s="5" t="s">
        <v>318</v>
      </c>
      <c r="F12" s="3" t="s">
        <v>38</v>
      </c>
      <c r="G12" s="3" t="s">
        <v>319</v>
      </c>
      <c r="H12" s="3" t="s">
        <v>76</v>
      </c>
      <c r="I12" s="14" t="s">
        <v>251</v>
      </c>
      <c r="J12" s="20" t="s">
        <v>43</v>
      </c>
      <c r="K12" s="18" t="s">
        <v>321</v>
      </c>
      <c r="L12" s="337"/>
      <c r="M12" s="339"/>
    </row>
    <row r="13" spans="1:13" ht="12.75">
      <c r="A13" s="20" t="s">
        <v>310</v>
      </c>
      <c r="B13" s="20">
        <v>3.5</v>
      </c>
      <c r="C13" s="17">
        <v>3.5</v>
      </c>
      <c r="D13" s="20">
        <v>-1</v>
      </c>
      <c r="E13" s="17">
        <v>-1</v>
      </c>
      <c r="F13" s="17">
        <v>-1</v>
      </c>
      <c r="G13" s="17">
        <v>-1</v>
      </c>
      <c r="H13" s="17">
        <v>-1</v>
      </c>
      <c r="I13" s="18">
        <v>-1</v>
      </c>
      <c r="J13" s="20">
        <v>-2.35</v>
      </c>
      <c r="K13" s="18">
        <v>-2.35</v>
      </c>
      <c r="L13" s="18"/>
      <c r="M13" s="18"/>
    </row>
    <row r="14" spans="1:13" ht="12.75">
      <c r="A14" s="13" t="s">
        <v>311</v>
      </c>
      <c r="B14" s="13">
        <v>9</v>
      </c>
      <c r="C14" s="3">
        <v>16</v>
      </c>
      <c r="D14" s="13">
        <v>3</v>
      </c>
      <c r="E14" s="3">
        <v>3</v>
      </c>
      <c r="F14" s="3">
        <v>8.05</v>
      </c>
      <c r="G14" s="3">
        <v>10.6</v>
      </c>
      <c r="H14" s="3">
        <v>4</v>
      </c>
      <c r="I14" s="14">
        <v>3.09</v>
      </c>
      <c r="J14" s="13">
        <v>11.36</v>
      </c>
      <c r="K14" s="14">
        <v>21.17</v>
      </c>
      <c r="L14" s="14"/>
      <c r="M14" s="14"/>
    </row>
    <row r="15" spans="1:13" ht="12.75">
      <c r="A15" s="21" t="s">
        <v>312</v>
      </c>
      <c r="B15" s="21">
        <f aca="true" t="shared" si="1" ref="B15:K15">B14-B13</f>
        <v>5.5</v>
      </c>
      <c r="C15" s="7">
        <f t="shared" si="1"/>
        <v>12.5</v>
      </c>
      <c r="D15" s="21">
        <f t="shared" si="1"/>
        <v>4</v>
      </c>
      <c r="E15" s="7">
        <f t="shared" si="1"/>
        <v>4</v>
      </c>
      <c r="F15" s="7">
        <f t="shared" si="1"/>
        <v>9.05</v>
      </c>
      <c r="G15" s="7">
        <f t="shared" si="1"/>
        <v>11.6</v>
      </c>
      <c r="H15" s="7">
        <f t="shared" si="1"/>
        <v>5</v>
      </c>
      <c r="I15" s="19">
        <f t="shared" si="1"/>
        <v>4.09</v>
      </c>
      <c r="J15" s="21">
        <f t="shared" si="1"/>
        <v>13.709999999999999</v>
      </c>
      <c r="K15" s="19">
        <f t="shared" si="1"/>
        <v>23.520000000000003</v>
      </c>
      <c r="L15" s="9">
        <f>AVERAGE(B15:K15)</f>
        <v>9.297</v>
      </c>
      <c r="M15" s="9">
        <f>SUM(B15:K15)</f>
        <v>92.97</v>
      </c>
    </row>
    <row r="16" spans="1:2" ht="12.75">
      <c r="A16"/>
      <c r="B16"/>
    </row>
    <row r="17" spans="1:2" ht="12.75">
      <c r="A17"/>
      <c r="B17"/>
    </row>
    <row r="18" ht="12.75">
      <c r="A18"/>
    </row>
    <row r="19" spans="1:15" ht="12.75">
      <c r="A19" s="322" t="s">
        <v>315</v>
      </c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4"/>
    </row>
    <row r="20" spans="1:15" ht="12.75">
      <c r="A20" s="335"/>
      <c r="B20" s="30">
        <v>2007</v>
      </c>
      <c r="C20" s="318">
        <v>2005</v>
      </c>
      <c r="D20" s="331"/>
      <c r="E20" s="331"/>
      <c r="F20" s="331"/>
      <c r="G20" s="319"/>
      <c r="H20" s="331">
        <v>2002</v>
      </c>
      <c r="I20" s="331"/>
      <c r="J20" s="331"/>
      <c r="K20" s="331"/>
      <c r="L20" s="331"/>
      <c r="M20" s="319"/>
      <c r="N20" s="344" t="s">
        <v>46</v>
      </c>
      <c r="O20" s="338" t="s">
        <v>66</v>
      </c>
    </row>
    <row r="21" spans="1:15" ht="12.75">
      <c r="A21" s="336"/>
      <c r="B21" s="15" t="s">
        <v>108</v>
      </c>
      <c r="C21" s="21" t="s">
        <v>320</v>
      </c>
      <c r="D21" s="7" t="s">
        <v>297</v>
      </c>
      <c r="E21" s="7" t="s">
        <v>43</v>
      </c>
      <c r="F21" s="7" t="s">
        <v>321</v>
      </c>
      <c r="G21" s="19" t="s">
        <v>322</v>
      </c>
      <c r="H21" s="7" t="s">
        <v>318</v>
      </c>
      <c r="I21" s="7" t="s">
        <v>252</v>
      </c>
      <c r="J21" s="7" t="s">
        <v>43</v>
      </c>
      <c r="K21" s="7" t="s">
        <v>323</v>
      </c>
      <c r="L21" s="7" t="s">
        <v>297</v>
      </c>
      <c r="M21" s="19" t="s">
        <v>324</v>
      </c>
      <c r="N21" s="345"/>
      <c r="O21" s="346"/>
    </row>
    <row r="22" spans="1:15" ht="12.75">
      <c r="A22" s="20" t="s">
        <v>313</v>
      </c>
      <c r="B22" s="10">
        <v>23.4</v>
      </c>
      <c r="C22" s="13">
        <v>12.44</v>
      </c>
      <c r="D22" s="3">
        <v>12.44</v>
      </c>
      <c r="E22" s="3">
        <v>12.44</v>
      </c>
      <c r="F22" s="3">
        <v>12.44</v>
      </c>
      <c r="G22" s="14">
        <v>12.44</v>
      </c>
      <c r="H22" s="3">
        <v>3.46</v>
      </c>
      <c r="I22" s="3">
        <v>3.46</v>
      </c>
      <c r="J22" s="3">
        <v>3.46</v>
      </c>
      <c r="K22" s="3">
        <v>3.46</v>
      </c>
      <c r="L22" s="3">
        <v>3.46</v>
      </c>
      <c r="M22" s="14">
        <v>3.46</v>
      </c>
      <c r="N22" s="11">
        <f>AVERAGE(B22:M22)</f>
        <v>8.86333333333333</v>
      </c>
      <c r="O22" s="14"/>
    </row>
    <row r="23" spans="1:15" ht="12.75">
      <c r="A23" s="13" t="s">
        <v>314</v>
      </c>
      <c r="B23" s="10">
        <v>24.18</v>
      </c>
      <c r="C23" s="13">
        <v>10.03</v>
      </c>
      <c r="D23" s="3">
        <v>12.04</v>
      </c>
      <c r="E23" s="3">
        <v>12.81</v>
      </c>
      <c r="F23" s="3">
        <v>16.2</v>
      </c>
      <c r="G23" s="14">
        <v>8.1</v>
      </c>
      <c r="H23" s="3">
        <v>0</v>
      </c>
      <c r="I23" s="3">
        <v>0</v>
      </c>
      <c r="J23" s="3">
        <v>1.05</v>
      </c>
      <c r="K23" s="3">
        <v>0</v>
      </c>
      <c r="L23" s="3">
        <v>1.99</v>
      </c>
      <c r="M23" s="14">
        <v>0</v>
      </c>
      <c r="N23" s="14"/>
      <c r="O23" s="14"/>
    </row>
    <row r="24" spans="1:15" ht="12.75">
      <c r="A24" s="21" t="s">
        <v>312</v>
      </c>
      <c r="B24" s="8">
        <f aca="true" t="shared" si="2" ref="B24:M24">B22-B23</f>
        <v>-0.7800000000000011</v>
      </c>
      <c r="C24" s="21">
        <f t="shared" si="2"/>
        <v>2.41</v>
      </c>
      <c r="D24" s="7">
        <f t="shared" si="2"/>
        <v>0.40000000000000036</v>
      </c>
      <c r="E24" s="7">
        <f t="shared" si="2"/>
        <v>-0.370000000000001</v>
      </c>
      <c r="F24" s="7">
        <f t="shared" si="2"/>
        <v>-3.76</v>
      </c>
      <c r="G24" s="19">
        <f t="shared" si="2"/>
        <v>4.34</v>
      </c>
      <c r="H24" s="7">
        <f t="shared" si="2"/>
        <v>3.46</v>
      </c>
      <c r="I24" s="7">
        <f t="shared" si="2"/>
        <v>3.46</v>
      </c>
      <c r="J24" s="7">
        <f t="shared" si="2"/>
        <v>2.41</v>
      </c>
      <c r="K24" s="7">
        <f t="shared" si="2"/>
        <v>3.46</v>
      </c>
      <c r="L24" s="7">
        <f t="shared" si="2"/>
        <v>1.47</v>
      </c>
      <c r="M24" s="19">
        <f t="shared" si="2"/>
        <v>3.46</v>
      </c>
      <c r="N24" s="9">
        <f>AVERAGE(B24:M24)</f>
        <v>1.663333333333333</v>
      </c>
      <c r="O24" s="19">
        <f>SUM(B24:M24)</f>
        <v>19.959999999999997</v>
      </c>
    </row>
    <row r="25" spans="1:14" ht="12.75">
      <c r="A25"/>
      <c r="B25"/>
      <c r="N25" s="1">
        <f>N24/N22</f>
        <v>0.18766453553967663</v>
      </c>
    </row>
    <row r="26" spans="1:2" ht="12.75">
      <c r="A26"/>
      <c r="B26"/>
    </row>
    <row r="27" spans="1:2" ht="12.75">
      <c r="A27"/>
      <c r="B27"/>
    </row>
    <row r="28" spans="1:23" ht="12.75">
      <c r="A28" s="20" t="s">
        <v>335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8"/>
    </row>
    <row r="29" spans="1:23" ht="12.75">
      <c r="A29" s="31"/>
      <c r="B29" s="318">
        <v>2006</v>
      </c>
      <c r="C29" s="331"/>
      <c r="D29" s="331"/>
      <c r="E29" s="331"/>
      <c r="F29" s="331"/>
      <c r="G29" s="331"/>
      <c r="H29" s="319"/>
      <c r="I29" s="331">
        <v>2003</v>
      </c>
      <c r="J29" s="331"/>
      <c r="K29" s="331"/>
      <c r="L29" s="331"/>
      <c r="M29" s="331"/>
      <c r="N29" s="331"/>
      <c r="O29" s="318">
        <v>1999</v>
      </c>
      <c r="P29" s="319"/>
      <c r="Q29" s="318">
        <v>1996</v>
      </c>
      <c r="R29" s="319"/>
      <c r="S29" s="32" t="s">
        <v>92</v>
      </c>
      <c r="T29" s="32" t="s">
        <v>51</v>
      </c>
      <c r="U29" s="32" t="s">
        <v>50</v>
      </c>
      <c r="V29" s="23" t="s">
        <v>46</v>
      </c>
      <c r="W29" s="28" t="s">
        <v>66</v>
      </c>
    </row>
    <row r="30" spans="1:23" ht="12.75">
      <c r="A30" s="13" t="s">
        <v>313</v>
      </c>
      <c r="B30" s="13">
        <v>12</v>
      </c>
      <c r="C30" s="3">
        <v>12</v>
      </c>
      <c r="D30" s="3">
        <v>12</v>
      </c>
      <c r="E30" s="3">
        <v>12</v>
      </c>
      <c r="F30" s="3">
        <v>12</v>
      </c>
      <c r="G30" s="3">
        <v>12</v>
      </c>
      <c r="H30" s="14">
        <v>12</v>
      </c>
      <c r="I30" s="3">
        <v>11</v>
      </c>
      <c r="J30" s="3">
        <v>11</v>
      </c>
      <c r="K30" s="3">
        <v>11</v>
      </c>
      <c r="L30" s="3">
        <v>11</v>
      </c>
      <c r="M30" s="3">
        <v>11</v>
      </c>
      <c r="N30" s="3">
        <v>11</v>
      </c>
      <c r="O30" s="13">
        <v>17</v>
      </c>
      <c r="P30" s="14">
        <v>17</v>
      </c>
      <c r="Q30" s="13">
        <v>10</v>
      </c>
      <c r="R30" s="14">
        <v>10</v>
      </c>
      <c r="S30" s="3"/>
      <c r="T30" s="3"/>
      <c r="U30" s="3"/>
      <c r="V30" s="10"/>
      <c r="W30" s="14"/>
    </row>
    <row r="31" spans="1:23" ht="12.75">
      <c r="A31" s="13" t="s">
        <v>314</v>
      </c>
      <c r="B31" s="13">
        <v>8</v>
      </c>
      <c r="C31" s="3">
        <v>11</v>
      </c>
      <c r="D31" s="3">
        <v>11</v>
      </c>
      <c r="E31" s="3">
        <v>12</v>
      </c>
      <c r="F31" s="3">
        <v>10</v>
      </c>
      <c r="G31" s="3">
        <v>8.5</v>
      </c>
      <c r="H31" s="14">
        <v>9.5</v>
      </c>
      <c r="I31" s="3">
        <v>10.5</v>
      </c>
      <c r="J31" s="3">
        <v>11</v>
      </c>
      <c r="K31" s="3">
        <v>13</v>
      </c>
      <c r="L31" s="3">
        <v>11</v>
      </c>
      <c r="M31" s="3">
        <v>10</v>
      </c>
      <c r="N31" s="3">
        <v>10</v>
      </c>
      <c r="O31" s="13">
        <v>11</v>
      </c>
      <c r="P31" s="14">
        <v>10.5</v>
      </c>
      <c r="Q31" s="13">
        <v>4</v>
      </c>
      <c r="R31" s="14">
        <v>4.5</v>
      </c>
      <c r="S31" s="3"/>
      <c r="T31" s="3"/>
      <c r="U31" s="3"/>
      <c r="V31" s="10"/>
      <c r="W31" s="14"/>
    </row>
    <row r="32" spans="1:23" ht="12.75">
      <c r="A32" s="21" t="s">
        <v>312</v>
      </c>
      <c r="B32" s="21">
        <f aca="true" t="shared" si="3" ref="B32:R32">B30-B31</f>
        <v>4</v>
      </c>
      <c r="C32" s="7">
        <f t="shared" si="3"/>
        <v>1</v>
      </c>
      <c r="D32" s="7">
        <f t="shared" si="3"/>
        <v>1</v>
      </c>
      <c r="E32" s="7">
        <f t="shared" si="3"/>
        <v>0</v>
      </c>
      <c r="F32" s="7">
        <f t="shared" si="3"/>
        <v>2</v>
      </c>
      <c r="G32" s="7">
        <f t="shared" si="3"/>
        <v>3.5</v>
      </c>
      <c r="H32" s="19">
        <f t="shared" si="3"/>
        <v>2.5</v>
      </c>
      <c r="I32" s="7">
        <f t="shared" si="3"/>
        <v>0.5</v>
      </c>
      <c r="J32" s="7">
        <f t="shared" si="3"/>
        <v>0</v>
      </c>
      <c r="K32" s="7">
        <f t="shared" si="3"/>
        <v>-2</v>
      </c>
      <c r="L32" s="7">
        <f t="shared" si="3"/>
        <v>0</v>
      </c>
      <c r="M32" s="7">
        <f t="shared" si="3"/>
        <v>1</v>
      </c>
      <c r="N32" s="7">
        <f t="shared" si="3"/>
        <v>1</v>
      </c>
      <c r="O32" s="21">
        <f t="shared" si="3"/>
        <v>6</v>
      </c>
      <c r="P32" s="19">
        <f t="shared" si="3"/>
        <v>6.5</v>
      </c>
      <c r="Q32" s="21">
        <f t="shared" si="3"/>
        <v>6</v>
      </c>
      <c r="R32" s="19">
        <f t="shared" si="3"/>
        <v>5.5</v>
      </c>
      <c r="S32" s="7">
        <v>17</v>
      </c>
      <c r="T32" s="25">
        <v>13</v>
      </c>
      <c r="U32" s="7">
        <v>1</v>
      </c>
      <c r="V32" s="33">
        <f>AVERAGE(B32:R32)</f>
        <v>2.264705882352941</v>
      </c>
      <c r="W32" s="19">
        <f>SUM(B32:R32)</f>
        <v>38.5</v>
      </c>
    </row>
    <row r="33" spans="1:17" ht="12.75">
      <c r="A33"/>
      <c r="B33"/>
      <c r="M33" s="3"/>
      <c r="Q33" s="3"/>
    </row>
    <row r="34" spans="1:2" ht="12.75">
      <c r="A34"/>
      <c r="B34"/>
    </row>
    <row r="35" spans="1:2" ht="12.75">
      <c r="A35"/>
      <c r="B35"/>
    </row>
    <row r="36" spans="1:2" ht="12.75">
      <c r="A36"/>
      <c r="B36"/>
    </row>
    <row r="37" spans="1:2" ht="12.75">
      <c r="A37"/>
      <c r="B37"/>
    </row>
    <row r="38" spans="1:2" ht="12.75">
      <c r="A38" s="1"/>
      <c r="B38"/>
    </row>
    <row r="39" spans="1:2" ht="12.75">
      <c r="A39"/>
      <c r="B39"/>
    </row>
    <row r="40" spans="1:2" ht="12.75">
      <c r="A40"/>
      <c r="B40"/>
    </row>
  </sheetData>
  <sheetProtection/>
  <mergeCells count="27">
    <mergeCell ref="A1:W1"/>
    <mergeCell ref="B29:H29"/>
    <mergeCell ref="I29:N29"/>
    <mergeCell ref="O29:P29"/>
    <mergeCell ref="C20:G20"/>
    <mergeCell ref="H20:M20"/>
    <mergeCell ref="A20:A21"/>
    <mergeCell ref="S2:S3"/>
    <mergeCell ref="N20:N21"/>
    <mergeCell ref="O20:O21"/>
    <mergeCell ref="B11:C11"/>
    <mergeCell ref="D11:I11"/>
    <mergeCell ref="J11:K11"/>
    <mergeCell ref="A19:O19"/>
    <mergeCell ref="A11:A12"/>
    <mergeCell ref="L11:L12"/>
    <mergeCell ref="M11:M12"/>
    <mergeCell ref="Q29:R29"/>
    <mergeCell ref="W2:W3"/>
    <mergeCell ref="A10:M10"/>
    <mergeCell ref="T2:T3"/>
    <mergeCell ref="U2:U3"/>
    <mergeCell ref="V2:V3"/>
    <mergeCell ref="B2:G2"/>
    <mergeCell ref="N2:R2"/>
    <mergeCell ref="A2:A3"/>
    <mergeCell ref="H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מקסים ז'אק</cp:lastModifiedBy>
  <dcterms:created xsi:type="dcterms:W3CDTF">2007-05-10T11:22:10Z</dcterms:created>
  <dcterms:modified xsi:type="dcterms:W3CDTF">2009-01-29T16:57:42Z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